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EA03DE3-438D-4EFE-9F80-FA1AF16A1DF7}" xr6:coauthVersionLast="45" xr6:coauthVersionMax="45" xr10:uidLastSave="{00000000-0000-0000-0000-000000000000}"/>
  <bookViews>
    <workbookView xWindow="750" yWindow="750" windowWidth="26850" windowHeight="11400" firstSheet="1" activeTab="1" xr2:uid="{00000000-000D-0000-FFFF-FFFF00000000}"/>
  </bookViews>
  <sheets>
    <sheet name="Лист2" sheetId="9" state="hidden" r:id="rId1"/>
    <sheet name="024011" sheetId="12" r:id="rId2"/>
    <sheet name="бухгалтерия подуш и ец" sheetId="5" state="hidden" r:id="rId3"/>
    <sheet name="Лист4" sheetId="6" state="hidden" r:id="rId4"/>
  </sheets>
  <definedNames>
    <definedName name="_xlnm.Print_Area" localSheetId="1">'024011'!$A$1:$U$14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" i="12" l="1"/>
  <c r="E12" i="12"/>
  <c r="I173" i="5" l="1"/>
  <c r="I172" i="5" s="1"/>
  <c r="U171" i="5"/>
  <c r="T171" i="5"/>
  <c r="P171" i="5"/>
  <c r="O171" i="5"/>
  <c r="N171" i="5"/>
  <c r="I171" i="5" s="1"/>
  <c r="I170" i="5" s="1"/>
  <c r="T184" i="6"/>
  <c r="S184" i="6"/>
  <c r="R184" i="6"/>
  <c r="Q184" i="6"/>
  <c r="P184" i="6"/>
  <c r="O184" i="6"/>
  <c r="N184" i="6"/>
  <c r="M184" i="6"/>
  <c r="L184" i="6"/>
  <c r="K184" i="6"/>
  <c r="J184" i="6"/>
  <c r="I184" i="6"/>
  <c r="N183" i="6"/>
  <c r="T182" i="6"/>
  <c r="S182" i="6"/>
  <c r="Q182" i="6"/>
  <c r="P182" i="6"/>
  <c r="N182" i="6"/>
  <c r="N181" i="6"/>
  <c r="M181" i="6"/>
  <c r="J180" i="6"/>
  <c r="I174" i="6"/>
  <c r="H172" i="6"/>
  <c r="U171" i="6"/>
  <c r="U184" i="6" s="1"/>
  <c r="N170" i="6"/>
  <c r="M170" i="6"/>
  <c r="L170" i="6"/>
  <c r="K170" i="6"/>
  <c r="J170" i="6"/>
  <c r="U169" i="6"/>
  <c r="T169" i="6"/>
  <c r="S169" i="6"/>
  <c r="R169" i="6"/>
  <c r="Q169" i="6"/>
  <c r="P169" i="6"/>
  <c r="O169" i="6"/>
  <c r="U168" i="6"/>
  <c r="T168" i="6"/>
  <c r="S168" i="6"/>
  <c r="R168" i="6"/>
  <c r="Q168" i="6"/>
  <c r="P168" i="6"/>
  <c r="O168" i="6"/>
  <c r="U167" i="6"/>
  <c r="T167" i="6"/>
  <c r="S167" i="6"/>
  <c r="R167" i="6"/>
  <c r="Q167" i="6"/>
  <c r="P167" i="6"/>
  <c r="P170" i="6" s="1"/>
  <c r="O167" i="6"/>
  <c r="N167" i="6"/>
  <c r="U166" i="6"/>
  <c r="R166" i="6"/>
  <c r="R162" i="6" s="1"/>
  <c r="K166" i="6"/>
  <c r="J166" i="6"/>
  <c r="I165" i="6"/>
  <c r="U164" i="6"/>
  <c r="U162" i="6" s="1"/>
  <c r="K164" i="6"/>
  <c r="J164" i="6"/>
  <c r="U163" i="6"/>
  <c r="O163" i="6"/>
  <c r="I163" i="6" s="1"/>
  <c r="T162" i="6"/>
  <c r="S162" i="6"/>
  <c r="Q162" i="6"/>
  <c r="P162" i="6"/>
  <c r="N162" i="6"/>
  <c r="M162" i="6"/>
  <c r="L162" i="6"/>
  <c r="G162" i="6"/>
  <c r="T161" i="6"/>
  <c r="L161" i="6"/>
  <c r="K161" i="6"/>
  <c r="K157" i="6" s="1"/>
  <c r="J161" i="6"/>
  <c r="I161" i="6" s="1"/>
  <c r="I160" i="6"/>
  <c r="U159" i="6"/>
  <c r="L159" i="6"/>
  <c r="L181" i="6" s="1"/>
  <c r="K159" i="6"/>
  <c r="J159" i="6"/>
  <c r="U158" i="6"/>
  <c r="U157" i="6" s="1"/>
  <c r="O158" i="6"/>
  <c r="L158" i="6"/>
  <c r="T157" i="6"/>
  <c r="S157" i="6"/>
  <c r="R157" i="6"/>
  <c r="Q157" i="6"/>
  <c r="P157" i="6"/>
  <c r="O157" i="6"/>
  <c r="N157" i="6"/>
  <c r="M157" i="6"/>
  <c r="G157" i="6"/>
  <c r="S156" i="6"/>
  <c r="L156" i="6"/>
  <c r="K156" i="6"/>
  <c r="J156" i="6"/>
  <c r="I155" i="6"/>
  <c r="L154" i="6"/>
  <c r="K154" i="6"/>
  <c r="J154" i="6"/>
  <c r="J152" i="6" s="1"/>
  <c r="U153" i="6"/>
  <c r="U152" i="6" s="1"/>
  <c r="O153" i="6"/>
  <c r="I153" i="6" s="1"/>
  <c r="T152" i="6"/>
  <c r="S152" i="6"/>
  <c r="R152" i="6"/>
  <c r="Q152" i="6"/>
  <c r="P152" i="6"/>
  <c r="N152" i="6"/>
  <c r="M152" i="6"/>
  <c r="L152" i="6"/>
  <c r="G152" i="6"/>
  <c r="U151" i="6"/>
  <c r="U147" i="6" s="1"/>
  <c r="K151" i="6"/>
  <c r="J151" i="6"/>
  <c r="I150" i="6"/>
  <c r="K149" i="6"/>
  <c r="J149" i="6"/>
  <c r="I148" i="6"/>
  <c r="T147" i="6"/>
  <c r="S147" i="6"/>
  <c r="R147" i="6"/>
  <c r="Q147" i="6"/>
  <c r="P147" i="6"/>
  <c r="O147" i="6"/>
  <c r="N147" i="6"/>
  <c r="M147" i="6"/>
  <c r="L147" i="6"/>
  <c r="K147" i="6"/>
  <c r="G147" i="6"/>
  <c r="U146" i="6"/>
  <c r="U142" i="6" s="1"/>
  <c r="K146" i="6"/>
  <c r="J146" i="6"/>
  <c r="I145" i="6"/>
  <c r="K144" i="6"/>
  <c r="J144" i="6"/>
  <c r="I144" i="6" s="1"/>
  <c r="Q143" i="6"/>
  <c r="I143" i="6" s="1"/>
  <c r="T142" i="6"/>
  <c r="S142" i="6"/>
  <c r="R142" i="6"/>
  <c r="P142" i="6"/>
  <c r="O142" i="6"/>
  <c r="N142" i="6"/>
  <c r="M142" i="6"/>
  <c r="L142" i="6"/>
  <c r="G142" i="6"/>
  <c r="U141" i="6"/>
  <c r="T141" i="6"/>
  <c r="R141" i="6"/>
  <c r="Q141" i="6"/>
  <c r="Q183" i="6" s="1"/>
  <c r="P141" i="6"/>
  <c r="P137" i="6" s="1"/>
  <c r="K141" i="6"/>
  <c r="J141" i="6"/>
  <c r="I140" i="6"/>
  <c r="U139" i="6"/>
  <c r="P139" i="6"/>
  <c r="K139" i="6"/>
  <c r="J139" i="6"/>
  <c r="U138" i="6"/>
  <c r="U137" i="6" s="1"/>
  <c r="T138" i="6"/>
  <c r="R138" i="6"/>
  <c r="Q138" i="6"/>
  <c r="T137" i="6"/>
  <c r="S137" i="6"/>
  <c r="O137" i="6"/>
  <c r="N137" i="6"/>
  <c r="M137" i="6"/>
  <c r="L137" i="6"/>
  <c r="K137" i="6"/>
  <c r="J137" i="6"/>
  <c r="G137" i="6"/>
  <c r="R136" i="6"/>
  <c r="K136" i="6"/>
  <c r="K132" i="6" s="1"/>
  <c r="J136" i="6"/>
  <c r="I136" i="6" s="1"/>
  <c r="I135" i="6"/>
  <c r="U134" i="6"/>
  <c r="T134" i="6"/>
  <c r="R134" i="6"/>
  <c r="K134" i="6"/>
  <c r="J134" i="6"/>
  <c r="U133" i="6"/>
  <c r="T133" i="6"/>
  <c r="R133" i="6"/>
  <c r="P133" i="6"/>
  <c r="U132" i="6"/>
  <c r="T132" i="6"/>
  <c r="S132" i="6"/>
  <c r="Q132" i="6"/>
  <c r="O132" i="6"/>
  <c r="N132" i="6"/>
  <c r="M132" i="6"/>
  <c r="L132" i="6"/>
  <c r="G132" i="6"/>
  <c r="S131" i="6"/>
  <c r="S127" i="6" s="1"/>
  <c r="K131" i="6"/>
  <c r="J131" i="6"/>
  <c r="I130" i="6"/>
  <c r="U129" i="6"/>
  <c r="U127" i="6" s="1"/>
  <c r="K129" i="6"/>
  <c r="J129" i="6"/>
  <c r="S128" i="6"/>
  <c r="R128" i="6"/>
  <c r="R127" i="6" s="1"/>
  <c r="Q128" i="6"/>
  <c r="P128" i="6"/>
  <c r="O128" i="6"/>
  <c r="N128" i="6"/>
  <c r="N127" i="6" s="1"/>
  <c r="M128" i="6"/>
  <c r="L128" i="6"/>
  <c r="L127" i="6" s="1"/>
  <c r="K128" i="6"/>
  <c r="I128" i="6"/>
  <c r="T127" i="6"/>
  <c r="Q127" i="6"/>
  <c r="O127" i="6"/>
  <c r="M127" i="6"/>
  <c r="J127" i="6"/>
  <c r="G127" i="6"/>
  <c r="K126" i="6"/>
  <c r="J126" i="6"/>
  <c r="I126" i="6"/>
  <c r="I125" i="6"/>
  <c r="U124" i="6"/>
  <c r="K124" i="6"/>
  <c r="T123" i="6"/>
  <c r="T122" i="6" s="1"/>
  <c r="Q123" i="6"/>
  <c r="I123" i="6" s="1"/>
  <c r="U122" i="6"/>
  <c r="S122" i="6"/>
  <c r="R122" i="6"/>
  <c r="Q122" i="6"/>
  <c r="P122" i="6"/>
  <c r="O122" i="6"/>
  <c r="N122" i="6"/>
  <c r="M122" i="6"/>
  <c r="L122" i="6"/>
  <c r="K122" i="6"/>
  <c r="J122" i="6"/>
  <c r="G122" i="6"/>
  <c r="U121" i="6"/>
  <c r="L121" i="6"/>
  <c r="K121" i="6"/>
  <c r="J121" i="6"/>
  <c r="K120" i="6"/>
  <c r="J120" i="6"/>
  <c r="J117" i="6" s="1"/>
  <c r="I120" i="6"/>
  <c r="O119" i="6"/>
  <c r="O117" i="6" s="1"/>
  <c r="K119" i="6"/>
  <c r="P118" i="6"/>
  <c r="L118" i="6"/>
  <c r="K118" i="6"/>
  <c r="U117" i="6"/>
  <c r="T117" i="6"/>
  <c r="S117" i="6"/>
  <c r="R117" i="6"/>
  <c r="Q117" i="6"/>
  <c r="P117" i="6"/>
  <c r="N117" i="6"/>
  <c r="M117" i="6"/>
  <c r="G117" i="6"/>
  <c r="L116" i="6"/>
  <c r="L112" i="6" s="1"/>
  <c r="K116" i="6"/>
  <c r="J116" i="6"/>
  <c r="I115" i="6"/>
  <c r="K114" i="6"/>
  <c r="I114" i="6" s="1"/>
  <c r="J114" i="6"/>
  <c r="I113" i="6"/>
  <c r="U112" i="6"/>
  <c r="T112" i="6"/>
  <c r="S112" i="6"/>
  <c r="R112" i="6"/>
  <c r="Q112" i="6"/>
  <c r="P112" i="6"/>
  <c r="O112" i="6"/>
  <c r="N112" i="6"/>
  <c r="M112" i="6"/>
  <c r="K112" i="6"/>
  <c r="J112" i="6"/>
  <c r="G112" i="6"/>
  <c r="U111" i="6"/>
  <c r="S111" i="6"/>
  <c r="S183" i="6" s="1"/>
  <c r="O111" i="6"/>
  <c r="L111" i="6"/>
  <c r="J111" i="6"/>
  <c r="I110" i="6"/>
  <c r="U109" i="6"/>
  <c r="O109" i="6"/>
  <c r="I109" i="6" s="1"/>
  <c r="U108" i="6"/>
  <c r="T108" i="6"/>
  <c r="T107" i="6" s="1"/>
  <c r="S108" i="6"/>
  <c r="Q108" i="6"/>
  <c r="Q107" i="6" s="1"/>
  <c r="P108" i="6"/>
  <c r="P107" i="6" s="1"/>
  <c r="O108" i="6"/>
  <c r="O107" i="6" s="1"/>
  <c r="M108" i="6"/>
  <c r="M107" i="6" s="1"/>
  <c r="L108" i="6"/>
  <c r="R107" i="6"/>
  <c r="N107" i="6"/>
  <c r="L107" i="6"/>
  <c r="K107" i="6"/>
  <c r="G107" i="6"/>
  <c r="K106" i="6"/>
  <c r="J106" i="6"/>
  <c r="I106" i="6" s="1"/>
  <c r="I105" i="6"/>
  <c r="T104" i="6"/>
  <c r="K104" i="6"/>
  <c r="J104" i="6"/>
  <c r="I104" i="6" s="1"/>
  <c r="T103" i="6"/>
  <c r="R103" i="6"/>
  <c r="U102" i="6"/>
  <c r="S102" i="6"/>
  <c r="Q102" i="6"/>
  <c r="P102" i="6"/>
  <c r="O102" i="6"/>
  <c r="N102" i="6"/>
  <c r="M102" i="6"/>
  <c r="L102" i="6"/>
  <c r="K102" i="6"/>
  <c r="J102" i="6"/>
  <c r="G102" i="6"/>
  <c r="U101" i="6"/>
  <c r="K101" i="6"/>
  <c r="J101" i="6"/>
  <c r="I101" i="6" s="1"/>
  <c r="I100" i="6"/>
  <c r="K99" i="6"/>
  <c r="J99" i="6"/>
  <c r="I99" i="6"/>
  <c r="P98" i="6"/>
  <c r="I98" i="6" s="1"/>
  <c r="I97" i="6" s="1"/>
  <c r="U97" i="6"/>
  <c r="T97" i="6"/>
  <c r="S97" i="6"/>
  <c r="R97" i="6"/>
  <c r="Q97" i="6"/>
  <c r="O97" i="6"/>
  <c r="N97" i="6"/>
  <c r="M97" i="6"/>
  <c r="L97" i="6"/>
  <c r="G97" i="6"/>
  <c r="U96" i="6"/>
  <c r="U92" i="6" s="1"/>
  <c r="K96" i="6"/>
  <c r="K92" i="6" s="1"/>
  <c r="J96" i="6"/>
  <c r="I95" i="6"/>
  <c r="O94" i="6"/>
  <c r="I94" i="6"/>
  <c r="O93" i="6"/>
  <c r="I93" i="6" s="1"/>
  <c r="N93" i="6"/>
  <c r="T92" i="6"/>
  <c r="S92" i="6"/>
  <c r="R92" i="6"/>
  <c r="Q92" i="6"/>
  <c r="P92" i="6"/>
  <c r="N92" i="6"/>
  <c r="M92" i="6"/>
  <c r="L92" i="6"/>
  <c r="J92" i="6"/>
  <c r="G92" i="6"/>
  <c r="O91" i="6"/>
  <c r="O87" i="6" s="1"/>
  <c r="M91" i="6"/>
  <c r="L91" i="6"/>
  <c r="L87" i="6" s="1"/>
  <c r="K91" i="6"/>
  <c r="K87" i="6" s="1"/>
  <c r="J91" i="6"/>
  <c r="I90" i="6"/>
  <c r="I89" i="6"/>
  <c r="I88" i="6"/>
  <c r="U87" i="6"/>
  <c r="T87" i="6"/>
  <c r="S87" i="6"/>
  <c r="R87" i="6"/>
  <c r="Q87" i="6"/>
  <c r="P87" i="6"/>
  <c r="N87" i="6"/>
  <c r="M87" i="6"/>
  <c r="J87" i="6"/>
  <c r="G87" i="6"/>
  <c r="U86" i="6"/>
  <c r="U82" i="6" s="1"/>
  <c r="O86" i="6"/>
  <c r="K86" i="6"/>
  <c r="J86" i="6"/>
  <c r="I85" i="6"/>
  <c r="I84" i="6"/>
  <c r="U83" i="6"/>
  <c r="T83" i="6"/>
  <c r="P83" i="6"/>
  <c r="P82" i="6" s="1"/>
  <c r="O83" i="6"/>
  <c r="N83" i="6"/>
  <c r="T82" i="6"/>
  <c r="S82" i="6"/>
  <c r="R82" i="6"/>
  <c r="Q82" i="6"/>
  <c r="O82" i="6"/>
  <c r="M82" i="6"/>
  <c r="L82" i="6"/>
  <c r="K82" i="6"/>
  <c r="J82" i="6"/>
  <c r="G82" i="6"/>
  <c r="O81" i="6"/>
  <c r="M81" i="6"/>
  <c r="M77" i="6" s="1"/>
  <c r="L81" i="6"/>
  <c r="L77" i="6" s="1"/>
  <c r="K81" i="6"/>
  <c r="J81" i="6"/>
  <c r="J77" i="6" s="1"/>
  <c r="I80" i="6"/>
  <c r="I79" i="6"/>
  <c r="S78" i="6"/>
  <c r="I78" i="6" s="1"/>
  <c r="U77" i="6"/>
  <c r="T77" i="6"/>
  <c r="R77" i="6"/>
  <c r="Q77" i="6"/>
  <c r="P77" i="6"/>
  <c r="O77" i="6"/>
  <c r="N77" i="6"/>
  <c r="K77" i="6"/>
  <c r="G77" i="6"/>
  <c r="U76" i="6"/>
  <c r="K76" i="6"/>
  <c r="J76" i="6"/>
  <c r="J72" i="6" s="1"/>
  <c r="I75" i="6"/>
  <c r="I74" i="6"/>
  <c r="U73" i="6"/>
  <c r="T73" i="6"/>
  <c r="T180" i="6" s="1"/>
  <c r="S73" i="6"/>
  <c r="R73" i="6"/>
  <c r="R72" i="6" s="1"/>
  <c r="Q73" i="6"/>
  <c r="P73" i="6"/>
  <c r="O73" i="6"/>
  <c r="S72" i="6"/>
  <c r="Q72" i="6"/>
  <c r="P72" i="6"/>
  <c r="N72" i="6"/>
  <c r="M72" i="6"/>
  <c r="L72" i="6"/>
  <c r="K72" i="6"/>
  <c r="G72" i="6"/>
  <c r="U71" i="6"/>
  <c r="T71" i="6"/>
  <c r="T67" i="6" s="1"/>
  <c r="K71" i="6"/>
  <c r="J71" i="6"/>
  <c r="J67" i="6" s="1"/>
  <c r="I70" i="6"/>
  <c r="I69" i="6"/>
  <c r="I68" i="6"/>
  <c r="U67" i="6"/>
  <c r="S67" i="6"/>
  <c r="R67" i="6"/>
  <c r="Q67" i="6"/>
  <c r="P67" i="6"/>
  <c r="O67" i="6"/>
  <c r="N67" i="6"/>
  <c r="M67" i="6"/>
  <c r="L67" i="6"/>
  <c r="G67" i="6"/>
  <c r="R66" i="6"/>
  <c r="R62" i="6" s="1"/>
  <c r="M66" i="6"/>
  <c r="L66" i="6"/>
  <c r="L62" i="6" s="1"/>
  <c r="K66" i="6"/>
  <c r="J66" i="6"/>
  <c r="I65" i="6"/>
  <c r="S64" i="6"/>
  <c r="Q64" i="6"/>
  <c r="I64" i="6" s="1"/>
  <c r="P63" i="6"/>
  <c r="P62" i="6" s="1"/>
  <c r="O63" i="6"/>
  <c r="U62" i="6"/>
  <c r="T62" i="6"/>
  <c r="S62" i="6"/>
  <c r="N62" i="6"/>
  <c r="M62" i="6"/>
  <c r="J62" i="6"/>
  <c r="G62" i="6"/>
  <c r="U61" i="6"/>
  <c r="M61" i="6"/>
  <c r="M57" i="6" s="1"/>
  <c r="L61" i="6"/>
  <c r="K61" i="6"/>
  <c r="J61" i="6"/>
  <c r="I60" i="6"/>
  <c r="I59" i="6"/>
  <c r="Q58" i="6"/>
  <c r="U57" i="6"/>
  <c r="T57" i="6"/>
  <c r="S57" i="6"/>
  <c r="R57" i="6"/>
  <c r="P57" i="6"/>
  <c r="O57" i="6"/>
  <c r="N57" i="6"/>
  <c r="K57" i="6"/>
  <c r="G57" i="6"/>
  <c r="U56" i="6"/>
  <c r="I56" i="6" s="1"/>
  <c r="K56" i="6"/>
  <c r="K52" i="6" s="1"/>
  <c r="J56" i="6"/>
  <c r="I55" i="6"/>
  <c r="I54" i="6"/>
  <c r="R53" i="6"/>
  <c r="R52" i="6" s="1"/>
  <c r="M53" i="6"/>
  <c r="L53" i="6"/>
  <c r="U52" i="6"/>
  <c r="T52" i="6"/>
  <c r="S52" i="6"/>
  <c r="Q52" i="6"/>
  <c r="P52" i="6"/>
  <c r="O52" i="6"/>
  <c r="N52" i="6"/>
  <c r="L52" i="6"/>
  <c r="J52" i="6"/>
  <c r="G52" i="6"/>
  <c r="O51" i="6"/>
  <c r="K51" i="6"/>
  <c r="J51" i="6"/>
  <c r="I51" i="6" s="1"/>
  <c r="I50" i="6"/>
  <c r="I49" i="6"/>
  <c r="K48" i="6"/>
  <c r="U47" i="6"/>
  <c r="T47" i="6"/>
  <c r="S47" i="6"/>
  <c r="R47" i="6"/>
  <c r="Q47" i="6"/>
  <c r="P47" i="6"/>
  <c r="O47" i="6"/>
  <c r="N47" i="6"/>
  <c r="M47" i="6"/>
  <c r="L47" i="6"/>
  <c r="G47" i="6"/>
  <c r="O46" i="6"/>
  <c r="O183" i="6" s="1"/>
  <c r="K46" i="6"/>
  <c r="I46" i="6" s="1"/>
  <c r="J46" i="6"/>
  <c r="I45" i="6"/>
  <c r="I44" i="6"/>
  <c r="O43" i="6"/>
  <c r="U42" i="6"/>
  <c r="T42" i="6"/>
  <c r="S42" i="6"/>
  <c r="R42" i="6"/>
  <c r="Q42" i="6"/>
  <c r="P42" i="6"/>
  <c r="N42" i="6"/>
  <c r="M42" i="6"/>
  <c r="L42" i="6"/>
  <c r="J42" i="6"/>
  <c r="G42" i="6"/>
  <c r="U41" i="6"/>
  <c r="T41" i="6"/>
  <c r="T37" i="6" s="1"/>
  <c r="M41" i="6"/>
  <c r="M37" i="6" s="1"/>
  <c r="K41" i="6"/>
  <c r="J41" i="6"/>
  <c r="I40" i="6"/>
  <c r="S39" i="6"/>
  <c r="S181" i="6" s="1"/>
  <c r="P38" i="6"/>
  <c r="I38" i="6"/>
  <c r="U37" i="6"/>
  <c r="S37" i="6"/>
  <c r="R37" i="6"/>
  <c r="Q37" i="6"/>
  <c r="P37" i="6"/>
  <c r="O37" i="6"/>
  <c r="N37" i="6"/>
  <c r="L37" i="6"/>
  <c r="K37" i="6"/>
  <c r="G37" i="6"/>
  <c r="U36" i="6"/>
  <c r="U32" i="6" s="1"/>
  <c r="K36" i="6"/>
  <c r="J36" i="6"/>
  <c r="I36" i="6" s="1"/>
  <c r="I35" i="6"/>
  <c r="R34" i="6"/>
  <c r="P34" i="6"/>
  <c r="I34" i="6" s="1"/>
  <c r="N33" i="6"/>
  <c r="I33" i="6" s="1"/>
  <c r="T32" i="6"/>
  <c r="S32" i="6"/>
  <c r="Q32" i="6"/>
  <c r="P32" i="6"/>
  <c r="O32" i="6"/>
  <c r="M32" i="6"/>
  <c r="L32" i="6"/>
  <c r="K32" i="6"/>
  <c r="G32" i="6"/>
  <c r="I31" i="6"/>
  <c r="I30" i="6"/>
  <c r="I29" i="6"/>
  <c r="I27" i="6" s="1"/>
  <c r="I28" i="6"/>
  <c r="U27" i="6"/>
  <c r="T27" i="6"/>
  <c r="S27" i="6"/>
  <c r="R27" i="6"/>
  <c r="Q27" i="6"/>
  <c r="P27" i="6"/>
  <c r="O27" i="6"/>
  <c r="N27" i="6"/>
  <c r="M27" i="6"/>
  <c r="L27" i="6"/>
  <c r="K27" i="6"/>
  <c r="J27" i="6"/>
  <c r="G27" i="6"/>
  <c r="R26" i="6"/>
  <c r="K26" i="6"/>
  <c r="I26" i="6" s="1"/>
  <c r="J26" i="6"/>
  <c r="U25" i="6"/>
  <c r="U182" i="6" s="1"/>
  <c r="R25" i="6"/>
  <c r="R182" i="6" s="1"/>
  <c r="O25" i="6"/>
  <c r="O22" i="6" s="1"/>
  <c r="M25" i="6"/>
  <c r="M182" i="6" s="1"/>
  <c r="L25" i="6"/>
  <c r="L182" i="6" s="1"/>
  <c r="K25" i="6"/>
  <c r="K182" i="6" s="1"/>
  <c r="J25" i="6"/>
  <c r="J22" i="6" s="1"/>
  <c r="I24" i="6"/>
  <c r="R23" i="6"/>
  <c r="I23" i="6" s="1"/>
  <c r="U22" i="6"/>
  <c r="T22" i="6"/>
  <c r="S22" i="6"/>
  <c r="Q22" i="6"/>
  <c r="P22" i="6"/>
  <c r="N22" i="6"/>
  <c r="L22" i="6"/>
  <c r="G22" i="6"/>
  <c r="P21" i="6"/>
  <c r="K21" i="6"/>
  <c r="K17" i="6" s="1"/>
  <c r="J21" i="6"/>
  <c r="J17" i="6" s="1"/>
  <c r="I20" i="6"/>
  <c r="P19" i="6"/>
  <c r="O19" i="6"/>
  <c r="I19" i="6" s="1"/>
  <c r="R18" i="6"/>
  <c r="I18" i="6"/>
  <c r="U17" i="6"/>
  <c r="T17" i="6"/>
  <c r="S17" i="6"/>
  <c r="R17" i="6"/>
  <c r="Q17" i="6"/>
  <c r="N17" i="6"/>
  <c r="M17" i="6"/>
  <c r="L17" i="6"/>
  <c r="G17" i="6"/>
  <c r="E17" i="6"/>
  <c r="E22" i="6" s="1"/>
  <c r="E27" i="6" s="1"/>
  <c r="E32" i="6" s="1"/>
  <c r="E37" i="6" s="1"/>
  <c r="E42" i="6" s="1"/>
  <c r="E47" i="6" s="1"/>
  <c r="E52" i="6" s="1"/>
  <c r="E57" i="6" s="1"/>
  <c r="E62" i="6" s="1"/>
  <c r="E67" i="6" s="1"/>
  <c r="E72" i="6" s="1"/>
  <c r="E77" i="6" s="1"/>
  <c r="E82" i="6" s="1"/>
  <c r="E87" i="6" s="1"/>
  <c r="E92" i="6" s="1"/>
  <c r="E97" i="6" s="1"/>
  <c r="E102" i="6" s="1"/>
  <c r="E107" i="6" s="1"/>
  <c r="E112" i="6" s="1"/>
  <c r="E117" i="6" s="1"/>
  <c r="E122" i="6" s="1"/>
  <c r="E127" i="6" s="1"/>
  <c r="E132" i="6" s="1"/>
  <c r="E137" i="6" s="1"/>
  <c r="E142" i="6" s="1"/>
  <c r="E147" i="6" s="1"/>
  <c r="E152" i="6" s="1"/>
  <c r="E157" i="6" s="1"/>
  <c r="E162" i="6" s="1"/>
  <c r="K16" i="6"/>
  <c r="J16" i="6"/>
  <c r="I15" i="6"/>
  <c r="I14" i="6"/>
  <c r="Q13" i="6"/>
  <c r="U12" i="6"/>
  <c r="T12" i="6"/>
  <c r="S12" i="6"/>
  <c r="R12" i="6"/>
  <c r="P12" i="6"/>
  <c r="O12" i="6"/>
  <c r="N12" i="6"/>
  <c r="M12" i="6"/>
  <c r="L12" i="6"/>
  <c r="J12" i="6"/>
  <c r="G12" i="6"/>
  <c r="L183" i="6" l="1"/>
  <c r="L57" i="6"/>
  <c r="I118" i="6"/>
  <c r="K117" i="6"/>
  <c r="I13" i="6"/>
  <c r="I180" i="6" s="1"/>
  <c r="Q12" i="6"/>
  <c r="K183" i="6"/>
  <c r="R180" i="6"/>
  <c r="K22" i="6"/>
  <c r="R183" i="6"/>
  <c r="K42" i="6"/>
  <c r="K180" i="6"/>
  <c r="K47" i="6"/>
  <c r="L180" i="6"/>
  <c r="I53" i="6"/>
  <c r="I52" i="6" s="1"/>
  <c r="I66" i="6"/>
  <c r="I121" i="6"/>
  <c r="K152" i="6"/>
  <c r="I156" i="6"/>
  <c r="J157" i="6"/>
  <c r="Q170" i="6"/>
  <c r="U170" i="6"/>
  <c r="R22" i="6"/>
  <c r="R181" i="6"/>
  <c r="I41" i="6"/>
  <c r="M180" i="6"/>
  <c r="M52" i="6"/>
  <c r="I86" i="6"/>
  <c r="I108" i="6"/>
  <c r="I107" i="6" s="1"/>
  <c r="L117" i="6"/>
  <c r="P180" i="6"/>
  <c r="P127" i="6"/>
  <c r="I129" i="6"/>
  <c r="I127" i="6" s="1"/>
  <c r="I133" i="6"/>
  <c r="I159" i="6"/>
  <c r="K12" i="6"/>
  <c r="I58" i="6"/>
  <c r="Q57" i="6"/>
  <c r="I63" i="6"/>
  <c r="I71" i="6"/>
  <c r="I73" i="6"/>
  <c r="I72" i="6" s="1"/>
  <c r="S180" i="6"/>
  <c r="S185" i="6" s="1"/>
  <c r="S186" i="6" s="1"/>
  <c r="I83" i="6"/>
  <c r="I91" i="6"/>
  <c r="I87" i="6" s="1"/>
  <c r="K181" i="6"/>
  <c r="I103" i="6"/>
  <c r="T181" i="6"/>
  <c r="S107" i="6"/>
  <c r="U181" i="6"/>
  <c r="U107" i="6"/>
  <c r="I116" i="6"/>
  <c r="Q142" i="6"/>
  <c r="I149" i="6"/>
  <c r="I147" i="6" s="1"/>
  <c r="I151" i="6"/>
  <c r="I168" i="6"/>
  <c r="T170" i="6"/>
  <c r="I138" i="6"/>
  <c r="I139" i="6"/>
  <c r="I142" i="6"/>
  <c r="I146" i="6"/>
  <c r="L157" i="6"/>
  <c r="I164" i="6"/>
  <c r="I166" i="6"/>
  <c r="I162" i="6" s="1"/>
  <c r="R170" i="6"/>
  <c r="I169" i="6"/>
  <c r="J183" i="6"/>
  <c r="P181" i="6"/>
  <c r="P185" i="6" s="1"/>
  <c r="P186" i="6" s="1"/>
  <c r="P183" i="6"/>
  <c r="G172" i="6"/>
  <c r="O180" i="6"/>
  <c r="I61" i="6"/>
  <c r="U180" i="6"/>
  <c r="I76" i="6"/>
  <c r="J181" i="6"/>
  <c r="K97" i="6"/>
  <c r="I111" i="6"/>
  <c r="I124" i="6"/>
  <c r="I122" i="6" s="1"/>
  <c r="K127" i="6"/>
  <c r="I131" i="6"/>
  <c r="R132" i="6"/>
  <c r="I134" i="6"/>
  <c r="Q137" i="6"/>
  <c r="I141" i="6"/>
  <c r="R137" i="6"/>
  <c r="K142" i="6"/>
  <c r="K162" i="6"/>
  <c r="O170" i="6"/>
  <c r="I170" i="6" s="1"/>
  <c r="S170" i="6"/>
  <c r="I67" i="6"/>
  <c r="I112" i="6"/>
  <c r="L172" i="6"/>
  <c r="L175" i="6" s="1"/>
  <c r="K185" i="6"/>
  <c r="K186" i="6" s="1"/>
  <c r="I102" i="6"/>
  <c r="M185" i="6"/>
  <c r="M186" i="6" s="1"/>
  <c r="I32" i="6"/>
  <c r="J37" i="6"/>
  <c r="O181" i="6"/>
  <c r="O185" i="6" s="1"/>
  <c r="O186" i="6" s="1"/>
  <c r="M183" i="6"/>
  <c r="M22" i="6"/>
  <c r="M172" i="6" s="1"/>
  <c r="M175" i="6" s="1"/>
  <c r="I25" i="6"/>
  <c r="I22" i="6" s="1"/>
  <c r="R32" i="6"/>
  <c r="O42" i="6"/>
  <c r="J47" i="6"/>
  <c r="I48" i="6"/>
  <c r="I47" i="6" s="1"/>
  <c r="J57" i="6"/>
  <c r="O62" i="6"/>
  <c r="K67" i="6"/>
  <c r="S77" i="6"/>
  <c r="S172" i="6" s="1"/>
  <c r="S175" i="6" s="1"/>
  <c r="R102" i="6"/>
  <c r="J107" i="6"/>
  <c r="I154" i="6"/>
  <c r="I152" i="6" s="1"/>
  <c r="O162" i="6"/>
  <c r="Q180" i="6"/>
  <c r="O182" i="6"/>
  <c r="T183" i="6"/>
  <c r="T185" i="6" s="1"/>
  <c r="T186" i="6" s="1"/>
  <c r="O17" i="6"/>
  <c r="I39" i="6"/>
  <c r="I181" i="6" s="1"/>
  <c r="I43" i="6"/>
  <c r="I42" i="6" s="1"/>
  <c r="I81" i="6"/>
  <c r="I77" i="6" s="1"/>
  <c r="O92" i="6"/>
  <c r="I158" i="6"/>
  <c r="I157" i="6" s="1"/>
  <c r="J162" i="6"/>
  <c r="Q181" i="6"/>
  <c r="J182" i="6"/>
  <c r="J185" i="6" s="1"/>
  <c r="J186" i="6" s="1"/>
  <c r="U183" i="6"/>
  <c r="U185" i="6" s="1"/>
  <c r="U186" i="6" s="1"/>
  <c r="P17" i="6"/>
  <c r="K62" i="6"/>
  <c r="T72" i="6"/>
  <c r="N82" i="6"/>
  <c r="I96" i="6"/>
  <c r="I92" i="6" s="1"/>
  <c r="T102" i="6"/>
  <c r="I119" i="6"/>
  <c r="J142" i="6"/>
  <c r="O152" i="6"/>
  <c r="I167" i="6"/>
  <c r="I16" i="6"/>
  <c r="I21" i="6"/>
  <c r="I17" i="6" s="1"/>
  <c r="N32" i="6"/>
  <c r="Q62" i="6"/>
  <c r="O72" i="6"/>
  <c r="U72" i="6"/>
  <c r="U172" i="6" s="1"/>
  <c r="U175" i="6" s="1"/>
  <c r="J97" i="6"/>
  <c r="P97" i="6"/>
  <c r="J132" i="6"/>
  <c r="P132" i="6"/>
  <c r="J147" i="6"/>
  <c r="N180" i="6"/>
  <c r="N185" i="6" s="1"/>
  <c r="N186" i="6" s="1"/>
  <c r="J32" i="6"/>
  <c r="G12" i="5"/>
  <c r="G17" i="5"/>
  <c r="G22" i="5"/>
  <c r="G27" i="5"/>
  <c r="G32" i="5"/>
  <c r="G37" i="5"/>
  <c r="G42" i="5"/>
  <c r="G47" i="5"/>
  <c r="G52" i="5"/>
  <c r="G57" i="5"/>
  <c r="G62" i="5"/>
  <c r="G67" i="5"/>
  <c r="G72" i="5"/>
  <c r="G77" i="5"/>
  <c r="G85" i="5"/>
  <c r="G90" i="5"/>
  <c r="G95" i="5"/>
  <c r="G100" i="5"/>
  <c r="G105" i="5"/>
  <c r="G110" i="5"/>
  <c r="G115" i="5"/>
  <c r="G120" i="5"/>
  <c r="G125" i="5"/>
  <c r="G130" i="5"/>
  <c r="G135" i="5"/>
  <c r="G140" i="5"/>
  <c r="G145" i="5"/>
  <c r="G150" i="5"/>
  <c r="G155" i="5"/>
  <c r="G160" i="5"/>
  <c r="H174" i="5"/>
  <c r="T186" i="5"/>
  <c r="S186" i="5"/>
  <c r="R186" i="5"/>
  <c r="Q186" i="5"/>
  <c r="P186" i="5"/>
  <c r="O186" i="5"/>
  <c r="N186" i="5"/>
  <c r="M186" i="5"/>
  <c r="L186" i="5"/>
  <c r="K186" i="5"/>
  <c r="J186" i="5"/>
  <c r="I186" i="5"/>
  <c r="N185" i="5"/>
  <c r="T184" i="5"/>
  <c r="S184" i="5"/>
  <c r="Q184" i="5"/>
  <c r="P184" i="5"/>
  <c r="N184" i="5"/>
  <c r="N183" i="5"/>
  <c r="M183" i="5"/>
  <c r="J182" i="5"/>
  <c r="I176" i="5"/>
  <c r="U169" i="5"/>
  <c r="U186" i="5" s="1"/>
  <c r="M168" i="5"/>
  <c r="L168" i="5"/>
  <c r="K168" i="5"/>
  <c r="J168" i="5"/>
  <c r="U167" i="5"/>
  <c r="T167" i="5"/>
  <c r="S167" i="5"/>
  <c r="R167" i="5"/>
  <c r="Q167" i="5"/>
  <c r="P167" i="5"/>
  <c r="O167" i="5"/>
  <c r="U166" i="5"/>
  <c r="T166" i="5"/>
  <c r="S166" i="5"/>
  <c r="R166" i="5"/>
  <c r="Q166" i="5"/>
  <c r="P166" i="5"/>
  <c r="O166" i="5"/>
  <c r="U165" i="5"/>
  <c r="T165" i="5"/>
  <c r="S165" i="5"/>
  <c r="R165" i="5"/>
  <c r="Q165" i="5"/>
  <c r="P165" i="5"/>
  <c r="O165" i="5"/>
  <c r="N165" i="5"/>
  <c r="U164" i="5"/>
  <c r="R164" i="5"/>
  <c r="R160" i="5" s="1"/>
  <c r="K164" i="5"/>
  <c r="J164" i="5"/>
  <c r="I163" i="5"/>
  <c r="U162" i="5"/>
  <c r="K162" i="5"/>
  <c r="J162" i="5"/>
  <c r="U161" i="5"/>
  <c r="O161" i="5"/>
  <c r="O160" i="5" s="1"/>
  <c r="T160" i="5"/>
  <c r="S160" i="5"/>
  <c r="Q160" i="5"/>
  <c r="P160" i="5"/>
  <c r="N160" i="5"/>
  <c r="M160" i="5"/>
  <c r="L160" i="5"/>
  <c r="T159" i="5"/>
  <c r="T155" i="5" s="1"/>
  <c r="L159" i="5"/>
  <c r="K159" i="5"/>
  <c r="J159" i="5"/>
  <c r="I158" i="5"/>
  <c r="U157" i="5"/>
  <c r="L157" i="5"/>
  <c r="K157" i="5"/>
  <c r="J157" i="5"/>
  <c r="U156" i="5"/>
  <c r="O156" i="5"/>
  <c r="L156" i="5"/>
  <c r="S155" i="5"/>
  <c r="R155" i="5"/>
  <c r="Q155" i="5"/>
  <c r="P155" i="5"/>
  <c r="N155" i="5"/>
  <c r="M155" i="5"/>
  <c r="S154" i="5"/>
  <c r="S150" i="5" s="1"/>
  <c r="L154" i="5"/>
  <c r="K154" i="5"/>
  <c r="J154" i="5"/>
  <c r="I153" i="5"/>
  <c r="L152" i="5"/>
  <c r="K152" i="5"/>
  <c r="J152" i="5"/>
  <c r="U151" i="5"/>
  <c r="U150" i="5" s="1"/>
  <c r="O151" i="5"/>
  <c r="T150" i="5"/>
  <c r="R150" i="5"/>
  <c r="Q150" i="5"/>
  <c r="P150" i="5"/>
  <c r="N150" i="5"/>
  <c r="M150" i="5"/>
  <c r="U149" i="5"/>
  <c r="U145" i="5" s="1"/>
  <c r="K149" i="5"/>
  <c r="J149" i="5"/>
  <c r="I148" i="5"/>
  <c r="K147" i="5"/>
  <c r="J147" i="5"/>
  <c r="I146" i="5"/>
  <c r="I145" i="5" s="1"/>
  <c r="T145" i="5"/>
  <c r="S145" i="5"/>
  <c r="R145" i="5"/>
  <c r="Q145" i="5"/>
  <c r="P145" i="5"/>
  <c r="O145" i="5"/>
  <c r="N145" i="5"/>
  <c r="M145" i="5"/>
  <c r="L145" i="5"/>
  <c r="U144" i="5"/>
  <c r="U140" i="5" s="1"/>
  <c r="K144" i="5"/>
  <c r="J144" i="5"/>
  <c r="I143" i="5"/>
  <c r="K142" i="5"/>
  <c r="J142" i="5"/>
  <c r="Q141" i="5"/>
  <c r="I141" i="5" s="1"/>
  <c r="I140" i="5" s="1"/>
  <c r="T140" i="5"/>
  <c r="S140" i="5"/>
  <c r="R140" i="5"/>
  <c r="P140" i="5"/>
  <c r="O140" i="5"/>
  <c r="N140" i="5"/>
  <c r="M140" i="5"/>
  <c r="L140" i="5"/>
  <c r="U139" i="5"/>
  <c r="T139" i="5"/>
  <c r="R139" i="5"/>
  <c r="Q139" i="5"/>
  <c r="Q185" i="5" s="1"/>
  <c r="P139" i="5"/>
  <c r="K139" i="5"/>
  <c r="J139" i="5"/>
  <c r="I138" i="5"/>
  <c r="U137" i="5"/>
  <c r="P137" i="5"/>
  <c r="K137" i="5"/>
  <c r="J137" i="5"/>
  <c r="U136" i="5"/>
  <c r="T136" i="5"/>
  <c r="T135" i="5" s="1"/>
  <c r="R136" i="5"/>
  <c r="R135" i="5" s="1"/>
  <c r="Q136" i="5"/>
  <c r="Q135" i="5" s="1"/>
  <c r="S135" i="5"/>
  <c r="O135" i="5"/>
  <c r="N135" i="5"/>
  <c r="M135" i="5"/>
  <c r="L135" i="5"/>
  <c r="R134" i="5"/>
  <c r="K134" i="5"/>
  <c r="K130" i="5" s="1"/>
  <c r="J134" i="5"/>
  <c r="I133" i="5"/>
  <c r="U132" i="5"/>
  <c r="T132" i="5"/>
  <c r="R132" i="5"/>
  <c r="K132" i="5"/>
  <c r="J132" i="5"/>
  <c r="U131" i="5"/>
  <c r="T131" i="5"/>
  <c r="R131" i="5"/>
  <c r="P131" i="5"/>
  <c r="S130" i="5"/>
  <c r="Q130" i="5"/>
  <c r="O130" i="5"/>
  <c r="N130" i="5"/>
  <c r="M130" i="5"/>
  <c r="L130" i="5"/>
  <c r="S129" i="5"/>
  <c r="K129" i="5"/>
  <c r="J129" i="5"/>
  <c r="I128" i="5"/>
  <c r="U127" i="5"/>
  <c r="U125" i="5" s="1"/>
  <c r="K127" i="5"/>
  <c r="J127" i="5"/>
  <c r="S126" i="5"/>
  <c r="R126" i="5"/>
  <c r="R125" i="5" s="1"/>
  <c r="Q126" i="5"/>
  <c r="Q125" i="5" s="1"/>
  <c r="P126" i="5"/>
  <c r="P125" i="5" s="1"/>
  <c r="O126" i="5"/>
  <c r="O125" i="5" s="1"/>
  <c r="N126" i="5"/>
  <c r="N125" i="5" s="1"/>
  <c r="M126" i="5"/>
  <c r="M125" i="5" s="1"/>
  <c r="L126" i="5"/>
  <c r="L125" i="5" s="1"/>
  <c r="K126" i="5"/>
  <c r="T125" i="5"/>
  <c r="K124" i="5"/>
  <c r="J124" i="5"/>
  <c r="I123" i="5"/>
  <c r="U122" i="5"/>
  <c r="K122" i="5"/>
  <c r="T121" i="5"/>
  <c r="T120" i="5" s="1"/>
  <c r="Q121" i="5"/>
  <c r="Q120" i="5" s="1"/>
  <c r="S120" i="5"/>
  <c r="R120" i="5"/>
  <c r="P120" i="5"/>
  <c r="O120" i="5"/>
  <c r="N120" i="5"/>
  <c r="M120" i="5"/>
  <c r="L120" i="5"/>
  <c r="U119" i="5"/>
  <c r="U115" i="5" s="1"/>
  <c r="L119" i="5"/>
  <c r="K119" i="5"/>
  <c r="J119" i="5"/>
  <c r="K118" i="5"/>
  <c r="J118" i="5"/>
  <c r="O117" i="5"/>
  <c r="O115" i="5" s="1"/>
  <c r="K117" i="5"/>
  <c r="P116" i="5"/>
  <c r="P115" i="5" s="1"/>
  <c r="L116" i="5"/>
  <c r="K116" i="5"/>
  <c r="T115" i="5"/>
  <c r="S115" i="5"/>
  <c r="R115" i="5"/>
  <c r="Q115" i="5"/>
  <c r="N115" i="5"/>
  <c r="M115" i="5"/>
  <c r="L114" i="5"/>
  <c r="L110" i="5" s="1"/>
  <c r="K114" i="5"/>
  <c r="J114" i="5"/>
  <c r="I113" i="5"/>
  <c r="K112" i="5"/>
  <c r="J112" i="5"/>
  <c r="I111" i="5"/>
  <c r="U110" i="5"/>
  <c r="T110" i="5"/>
  <c r="S110" i="5"/>
  <c r="R110" i="5"/>
  <c r="Q110" i="5"/>
  <c r="P110" i="5"/>
  <c r="O110" i="5"/>
  <c r="N110" i="5"/>
  <c r="M110" i="5"/>
  <c r="U109" i="5"/>
  <c r="S109" i="5"/>
  <c r="O109" i="5"/>
  <c r="L109" i="5"/>
  <c r="J109" i="5"/>
  <c r="J105" i="5" s="1"/>
  <c r="I108" i="5"/>
  <c r="U107" i="5"/>
  <c r="O107" i="5"/>
  <c r="U106" i="5"/>
  <c r="T106" i="5"/>
  <c r="T105" i="5" s="1"/>
  <c r="S106" i="5"/>
  <c r="Q106" i="5"/>
  <c r="Q105" i="5" s="1"/>
  <c r="P106" i="5"/>
  <c r="P105" i="5" s="1"/>
  <c r="O106" i="5"/>
  <c r="M106" i="5"/>
  <c r="M105" i="5" s="1"/>
  <c r="L106" i="5"/>
  <c r="L105" i="5" s="1"/>
  <c r="R105" i="5"/>
  <c r="N105" i="5"/>
  <c r="K105" i="5"/>
  <c r="K104" i="5"/>
  <c r="J104" i="5"/>
  <c r="I103" i="5"/>
  <c r="T102" i="5"/>
  <c r="K102" i="5"/>
  <c r="J102" i="5"/>
  <c r="T101" i="5"/>
  <c r="R101" i="5"/>
  <c r="R100" i="5" s="1"/>
  <c r="U100" i="5"/>
  <c r="S100" i="5"/>
  <c r="Q100" i="5"/>
  <c r="P100" i="5"/>
  <c r="O100" i="5"/>
  <c r="N100" i="5"/>
  <c r="M100" i="5"/>
  <c r="L100" i="5"/>
  <c r="U99" i="5"/>
  <c r="U95" i="5" s="1"/>
  <c r="K99" i="5"/>
  <c r="J99" i="5"/>
  <c r="I98" i="5"/>
  <c r="K97" i="5"/>
  <c r="J97" i="5"/>
  <c r="P96" i="5"/>
  <c r="I96" i="5" s="1"/>
  <c r="I95" i="5" s="1"/>
  <c r="T95" i="5"/>
  <c r="S95" i="5"/>
  <c r="R95" i="5"/>
  <c r="Q95" i="5"/>
  <c r="O95" i="5"/>
  <c r="N95" i="5"/>
  <c r="M95" i="5"/>
  <c r="L95" i="5"/>
  <c r="U94" i="5"/>
  <c r="U90" i="5" s="1"/>
  <c r="K94" i="5"/>
  <c r="K90" i="5" s="1"/>
  <c r="J94" i="5"/>
  <c r="I93" i="5"/>
  <c r="O92" i="5"/>
  <c r="I92" i="5" s="1"/>
  <c r="O91" i="5"/>
  <c r="N91" i="5"/>
  <c r="I91" i="5" s="1"/>
  <c r="I90" i="5" s="1"/>
  <c r="T90" i="5"/>
  <c r="S90" i="5"/>
  <c r="R90" i="5"/>
  <c r="Q90" i="5"/>
  <c r="P90" i="5"/>
  <c r="M90" i="5"/>
  <c r="L90" i="5"/>
  <c r="O89" i="5"/>
  <c r="O85" i="5" s="1"/>
  <c r="M89" i="5"/>
  <c r="M85" i="5" s="1"/>
  <c r="L89" i="5"/>
  <c r="L85" i="5" s="1"/>
  <c r="K89" i="5"/>
  <c r="K85" i="5" s="1"/>
  <c r="J89" i="5"/>
  <c r="J85" i="5" s="1"/>
  <c r="I88" i="5"/>
  <c r="I87" i="5"/>
  <c r="I86" i="5"/>
  <c r="I85" i="5" s="1"/>
  <c r="U85" i="5"/>
  <c r="T85" i="5"/>
  <c r="S85" i="5"/>
  <c r="R85" i="5"/>
  <c r="Q85" i="5"/>
  <c r="P85" i="5"/>
  <c r="N85" i="5"/>
  <c r="U84" i="5"/>
  <c r="O84" i="5"/>
  <c r="K84" i="5"/>
  <c r="J84" i="5"/>
  <c r="I83" i="5"/>
  <c r="I82" i="5"/>
  <c r="O81" i="5"/>
  <c r="O77" i="5" s="1"/>
  <c r="M81" i="5"/>
  <c r="M77" i="5" s="1"/>
  <c r="L81" i="5"/>
  <c r="L77" i="5" s="1"/>
  <c r="K81" i="5"/>
  <c r="K77" i="5" s="1"/>
  <c r="J81" i="5"/>
  <c r="J77" i="5" s="1"/>
  <c r="I80" i="5"/>
  <c r="I79" i="5"/>
  <c r="S78" i="5"/>
  <c r="I78" i="5" s="1"/>
  <c r="I77" i="5" s="1"/>
  <c r="U77" i="5"/>
  <c r="T77" i="5"/>
  <c r="R77" i="5"/>
  <c r="Q77" i="5"/>
  <c r="P77" i="5"/>
  <c r="N77" i="5"/>
  <c r="U76" i="5"/>
  <c r="K76" i="5"/>
  <c r="K72" i="5" s="1"/>
  <c r="J76" i="5"/>
  <c r="J72" i="5" s="1"/>
  <c r="I75" i="5"/>
  <c r="I74" i="5"/>
  <c r="U73" i="5"/>
  <c r="T73" i="5"/>
  <c r="S73" i="5"/>
  <c r="R73" i="5"/>
  <c r="R72" i="5" s="1"/>
  <c r="Q73" i="5"/>
  <c r="Q72" i="5" s="1"/>
  <c r="P73" i="5"/>
  <c r="O73" i="5"/>
  <c r="O72" i="5" s="1"/>
  <c r="N72" i="5"/>
  <c r="M72" i="5"/>
  <c r="L72" i="5"/>
  <c r="U71" i="5"/>
  <c r="T71" i="5"/>
  <c r="T67" i="5" s="1"/>
  <c r="K71" i="5"/>
  <c r="K67" i="5" s="1"/>
  <c r="J71" i="5"/>
  <c r="J67" i="5" s="1"/>
  <c r="I70" i="5"/>
  <c r="I69" i="5"/>
  <c r="I68" i="5"/>
  <c r="I67" i="5" s="1"/>
  <c r="S67" i="5"/>
  <c r="R67" i="5"/>
  <c r="Q67" i="5"/>
  <c r="P67" i="5"/>
  <c r="O67" i="5"/>
  <c r="N67" i="5"/>
  <c r="M67" i="5"/>
  <c r="L67" i="5"/>
  <c r="R66" i="5"/>
  <c r="R62" i="5" s="1"/>
  <c r="M66" i="5"/>
  <c r="M62" i="5" s="1"/>
  <c r="L66" i="5"/>
  <c r="L62" i="5" s="1"/>
  <c r="K66" i="5"/>
  <c r="K62" i="5" s="1"/>
  <c r="J66" i="5"/>
  <c r="J62" i="5" s="1"/>
  <c r="I65" i="5"/>
  <c r="S64" i="5"/>
  <c r="Q64" i="5"/>
  <c r="Q62" i="5" s="1"/>
  <c r="P63" i="5"/>
  <c r="P62" i="5" s="1"/>
  <c r="O63" i="5"/>
  <c r="U62" i="5"/>
  <c r="T62" i="5"/>
  <c r="N62" i="5"/>
  <c r="U61" i="5"/>
  <c r="U57" i="5" s="1"/>
  <c r="M61" i="5"/>
  <c r="M57" i="5" s="1"/>
  <c r="L61" i="5"/>
  <c r="K61" i="5"/>
  <c r="K57" i="5" s="1"/>
  <c r="J61" i="5"/>
  <c r="J57" i="5" s="1"/>
  <c r="I60" i="5"/>
  <c r="I59" i="5"/>
  <c r="Q58" i="5"/>
  <c r="I58" i="5" s="1"/>
  <c r="I57" i="5" s="1"/>
  <c r="T57" i="5"/>
  <c r="S57" i="5"/>
  <c r="R57" i="5"/>
  <c r="P57" i="5"/>
  <c r="O57" i="5"/>
  <c r="N57" i="5"/>
  <c r="U56" i="5"/>
  <c r="U52" i="5" s="1"/>
  <c r="K56" i="5"/>
  <c r="K52" i="5" s="1"/>
  <c r="J56" i="5"/>
  <c r="I55" i="5"/>
  <c r="I54" i="5"/>
  <c r="R53" i="5"/>
  <c r="R52" i="5" s="1"/>
  <c r="M53" i="5"/>
  <c r="M52" i="5" s="1"/>
  <c r="L53" i="5"/>
  <c r="T52" i="5"/>
  <c r="S52" i="5"/>
  <c r="Q52" i="5"/>
  <c r="P52" i="5"/>
  <c r="O52" i="5"/>
  <c r="N52" i="5"/>
  <c r="O51" i="5"/>
  <c r="K51" i="5"/>
  <c r="J51" i="5"/>
  <c r="J47" i="5" s="1"/>
  <c r="I50" i="5"/>
  <c r="I49" i="5"/>
  <c r="K48" i="5"/>
  <c r="I48" i="5" s="1"/>
  <c r="I47" i="5" s="1"/>
  <c r="U47" i="5"/>
  <c r="T47" i="5"/>
  <c r="S47" i="5"/>
  <c r="R47" i="5"/>
  <c r="Q47" i="5"/>
  <c r="P47" i="5"/>
  <c r="O47" i="5"/>
  <c r="N47" i="5"/>
  <c r="M47" i="5"/>
  <c r="L47" i="5"/>
  <c r="O46" i="5"/>
  <c r="K46" i="5"/>
  <c r="K42" i="5" s="1"/>
  <c r="J46" i="5"/>
  <c r="J42" i="5" s="1"/>
  <c r="I45" i="5"/>
  <c r="I44" i="5"/>
  <c r="O43" i="5"/>
  <c r="I43" i="5" s="1"/>
  <c r="I42" i="5" s="1"/>
  <c r="U42" i="5"/>
  <c r="T42" i="5"/>
  <c r="S42" i="5"/>
  <c r="R42" i="5"/>
  <c r="Q42" i="5"/>
  <c r="P42" i="5"/>
  <c r="N42" i="5"/>
  <c r="M42" i="5"/>
  <c r="L42" i="5"/>
  <c r="U41" i="5"/>
  <c r="U37" i="5" s="1"/>
  <c r="T41" i="5"/>
  <c r="T37" i="5" s="1"/>
  <c r="M41" i="5"/>
  <c r="M37" i="5" s="1"/>
  <c r="K41" i="5"/>
  <c r="K37" i="5" s="1"/>
  <c r="J41" i="5"/>
  <c r="J37" i="5" s="1"/>
  <c r="I40" i="5"/>
  <c r="S39" i="5"/>
  <c r="P38" i="5"/>
  <c r="I38" i="5" s="1"/>
  <c r="I37" i="5" s="1"/>
  <c r="R37" i="5"/>
  <c r="Q37" i="5"/>
  <c r="O37" i="5"/>
  <c r="N37" i="5"/>
  <c r="L37" i="5"/>
  <c r="U36" i="5"/>
  <c r="U32" i="5" s="1"/>
  <c r="K36" i="5"/>
  <c r="K32" i="5" s="1"/>
  <c r="J36" i="5"/>
  <c r="J32" i="5" s="1"/>
  <c r="I35" i="5"/>
  <c r="R34" i="5"/>
  <c r="R183" i="5" s="1"/>
  <c r="P34" i="5"/>
  <c r="I34" i="5" s="1"/>
  <c r="N33" i="5"/>
  <c r="I33" i="5" s="1"/>
  <c r="I32" i="5" s="1"/>
  <c r="T32" i="5"/>
  <c r="S32" i="5"/>
  <c r="Q32" i="5"/>
  <c r="O32" i="5"/>
  <c r="M32" i="5"/>
  <c r="L32" i="5"/>
  <c r="I31" i="5"/>
  <c r="I30" i="5"/>
  <c r="I29" i="5"/>
  <c r="I28" i="5"/>
  <c r="U27" i="5"/>
  <c r="T27" i="5"/>
  <c r="S27" i="5"/>
  <c r="R27" i="5"/>
  <c r="Q27" i="5"/>
  <c r="P27" i="5"/>
  <c r="O27" i="5"/>
  <c r="N27" i="5"/>
  <c r="M27" i="5"/>
  <c r="L27" i="5"/>
  <c r="K27" i="5"/>
  <c r="J27" i="5"/>
  <c r="R26" i="5"/>
  <c r="K26" i="5"/>
  <c r="J26" i="5"/>
  <c r="U25" i="5"/>
  <c r="U184" i="5" s="1"/>
  <c r="R25" i="5"/>
  <c r="R184" i="5" s="1"/>
  <c r="O25" i="5"/>
  <c r="O22" i="5" s="1"/>
  <c r="M25" i="5"/>
  <c r="M184" i="5" s="1"/>
  <c r="L25" i="5"/>
  <c r="L184" i="5" s="1"/>
  <c r="K25" i="5"/>
  <c r="J25" i="5"/>
  <c r="I24" i="5"/>
  <c r="R23" i="5"/>
  <c r="I23" i="5" s="1"/>
  <c r="T22" i="5"/>
  <c r="S22" i="5"/>
  <c r="Q22" i="5"/>
  <c r="P22" i="5"/>
  <c r="N22" i="5"/>
  <c r="P21" i="5"/>
  <c r="K21" i="5"/>
  <c r="K17" i="5" s="1"/>
  <c r="J21" i="5"/>
  <c r="I20" i="5"/>
  <c r="P19" i="5"/>
  <c r="O19" i="5"/>
  <c r="O17" i="5" s="1"/>
  <c r="R18" i="5"/>
  <c r="I18" i="5" s="1"/>
  <c r="I17" i="5" s="1"/>
  <c r="U17" i="5"/>
  <c r="T17" i="5"/>
  <c r="S17" i="5"/>
  <c r="Q17" i="5"/>
  <c r="N17" i="5"/>
  <c r="M17" i="5"/>
  <c r="L17" i="5"/>
  <c r="E17" i="5"/>
  <c r="E22" i="5" s="1"/>
  <c r="E27" i="5" s="1"/>
  <c r="E32" i="5" s="1"/>
  <c r="E37" i="5" s="1"/>
  <c r="E42" i="5" s="1"/>
  <c r="E47" i="5" s="1"/>
  <c r="E52" i="5" s="1"/>
  <c r="E57" i="5" s="1"/>
  <c r="E62" i="5" s="1"/>
  <c r="E67" i="5" s="1"/>
  <c r="E72" i="5" s="1"/>
  <c r="E77" i="5" s="1"/>
  <c r="K16" i="5"/>
  <c r="J16" i="5"/>
  <c r="I15" i="5"/>
  <c r="I14" i="5"/>
  <c r="Q13" i="5"/>
  <c r="I13" i="5" s="1"/>
  <c r="I12" i="5" s="1"/>
  <c r="U12" i="5"/>
  <c r="T12" i="5"/>
  <c r="S12" i="5"/>
  <c r="R12" i="5"/>
  <c r="P12" i="5"/>
  <c r="O12" i="5"/>
  <c r="N12" i="5"/>
  <c r="M12" i="5"/>
  <c r="L12" i="5"/>
  <c r="E90" i="5" l="1"/>
  <c r="E95" i="5" s="1"/>
  <c r="E100" i="5" s="1"/>
  <c r="E105" i="5" s="1"/>
  <c r="E85" i="5"/>
  <c r="R172" i="6"/>
  <c r="R175" i="6" s="1"/>
  <c r="I57" i="6"/>
  <c r="I22" i="5"/>
  <c r="I174" i="5" s="1"/>
  <c r="I132" i="5"/>
  <c r="J172" i="6"/>
  <c r="J175" i="6" s="1"/>
  <c r="I117" i="6"/>
  <c r="R185" i="6"/>
  <c r="R186" i="6" s="1"/>
  <c r="Q172" i="6"/>
  <c r="Q175" i="6" s="1"/>
  <c r="T172" i="6"/>
  <c r="T175" i="6" s="1"/>
  <c r="K172" i="6"/>
  <c r="K175" i="6" s="1"/>
  <c r="I137" i="6"/>
  <c r="I82" i="6"/>
  <c r="I62" i="6"/>
  <c r="L22" i="5"/>
  <c r="I134" i="5"/>
  <c r="N172" i="6"/>
  <c r="N175" i="6" s="1"/>
  <c r="P172" i="6"/>
  <c r="P175" i="6" s="1"/>
  <c r="O172" i="6"/>
  <c r="O175" i="6" s="1"/>
  <c r="I132" i="6"/>
  <c r="L185" i="6"/>
  <c r="L186" i="6" s="1"/>
  <c r="K47" i="5"/>
  <c r="J100" i="5"/>
  <c r="K160" i="5"/>
  <c r="P32" i="5"/>
  <c r="K140" i="5"/>
  <c r="O42" i="5"/>
  <c r="L182" i="5"/>
  <c r="M22" i="5"/>
  <c r="K135" i="5"/>
  <c r="I63" i="5"/>
  <c r="I62" i="5" s="1"/>
  <c r="K95" i="5"/>
  <c r="I149" i="5"/>
  <c r="N90" i="5"/>
  <c r="Q12" i="5"/>
  <c r="I84" i="5"/>
  <c r="I104" i="5"/>
  <c r="K125" i="5"/>
  <c r="J135" i="5"/>
  <c r="L183" i="5"/>
  <c r="L155" i="5"/>
  <c r="I182" i="6"/>
  <c r="I185" i="6" s="1"/>
  <c r="I186" i="6" s="1"/>
  <c r="Q185" i="6"/>
  <c r="Q186" i="6" s="1"/>
  <c r="I37" i="6"/>
  <c r="I183" i="6"/>
  <c r="I12" i="6"/>
  <c r="G174" i="5"/>
  <c r="K155" i="5"/>
  <c r="S183" i="5"/>
  <c r="I99" i="5"/>
  <c r="K120" i="5"/>
  <c r="Q182" i="5"/>
  <c r="T182" i="5"/>
  <c r="T100" i="5"/>
  <c r="K110" i="5"/>
  <c r="P168" i="5"/>
  <c r="O168" i="5"/>
  <c r="U168" i="5"/>
  <c r="K100" i="5"/>
  <c r="I106" i="5"/>
  <c r="I105" i="5" s="1"/>
  <c r="I107" i="5"/>
  <c r="S185" i="5"/>
  <c r="T130" i="5"/>
  <c r="K150" i="5"/>
  <c r="U155" i="5"/>
  <c r="I159" i="5"/>
  <c r="O62" i="5"/>
  <c r="K184" i="5"/>
  <c r="I26" i="5"/>
  <c r="R32" i="5"/>
  <c r="U182" i="5"/>
  <c r="U183" i="5"/>
  <c r="I112" i="5"/>
  <c r="I152" i="5"/>
  <c r="I161" i="5"/>
  <c r="I160" i="5" s="1"/>
  <c r="I124" i="5"/>
  <c r="I144" i="5"/>
  <c r="I16" i="5"/>
  <c r="U22" i="5"/>
  <c r="I56" i="5"/>
  <c r="Q57" i="5"/>
  <c r="I119" i="5"/>
  <c r="R168" i="5"/>
  <c r="I114" i="5"/>
  <c r="I129" i="5"/>
  <c r="I147" i="5"/>
  <c r="I66" i="5"/>
  <c r="I117" i="5"/>
  <c r="I151" i="5"/>
  <c r="I150" i="5" s="1"/>
  <c r="I156" i="5"/>
  <c r="I155" i="5" s="1"/>
  <c r="Q183" i="5"/>
  <c r="I102" i="5"/>
  <c r="U105" i="5"/>
  <c r="I116" i="5"/>
  <c r="I115" i="5" s="1"/>
  <c r="I122" i="5"/>
  <c r="P135" i="5"/>
  <c r="I165" i="5"/>
  <c r="S168" i="5"/>
  <c r="K185" i="5"/>
  <c r="R185" i="5"/>
  <c r="N182" i="5"/>
  <c r="N187" i="5" s="1"/>
  <c r="N188" i="5" s="1"/>
  <c r="O182" i="5"/>
  <c r="L185" i="5"/>
  <c r="I71" i="5"/>
  <c r="I73" i="5"/>
  <c r="I72" i="5" s="1"/>
  <c r="I94" i="5"/>
  <c r="T183" i="5"/>
  <c r="K115" i="5"/>
  <c r="I126" i="5"/>
  <c r="I125" i="5" s="1"/>
  <c r="I131" i="5"/>
  <c r="I130" i="5" s="1"/>
  <c r="R130" i="5"/>
  <c r="R182" i="5"/>
  <c r="J150" i="5"/>
  <c r="J155" i="5"/>
  <c r="U160" i="5"/>
  <c r="I166" i="5"/>
  <c r="S37" i="5"/>
  <c r="R17" i="5"/>
  <c r="I41" i="5"/>
  <c r="K182" i="5"/>
  <c r="S77" i="5"/>
  <c r="S105" i="5"/>
  <c r="U120" i="5"/>
  <c r="J145" i="5"/>
  <c r="I164" i="5"/>
  <c r="N168" i="5"/>
  <c r="P17" i="5"/>
  <c r="J12" i="5"/>
  <c r="I76" i="5"/>
  <c r="I81" i="5"/>
  <c r="I109" i="5"/>
  <c r="L115" i="5"/>
  <c r="I139" i="5"/>
  <c r="U135" i="5"/>
  <c r="J140" i="5"/>
  <c r="O155" i="5"/>
  <c r="Q168" i="5"/>
  <c r="I167" i="5"/>
  <c r="P185" i="5"/>
  <c r="J22" i="5"/>
  <c r="I25" i="5"/>
  <c r="M185" i="5"/>
  <c r="J95" i="5"/>
  <c r="I21" i="5"/>
  <c r="K22" i="5"/>
  <c r="I27" i="5"/>
  <c r="I39" i="5"/>
  <c r="T185" i="5"/>
  <c r="I64" i="5"/>
  <c r="U185" i="5"/>
  <c r="S182" i="5"/>
  <c r="O90" i="5"/>
  <c r="J184" i="5"/>
  <c r="I127" i="5"/>
  <c r="S125" i="5"/>
  <c r="U130" i="5"/>
  <c r="I137" i="5"/>
  <c r="Q140" i="5"/>
  <c r="L150" i="5"/>
  <c r="J160" i="5"/>
  <c r="M174" i="5"/>
  <c r="I19" i="5"/>
  <c r="I36" i="5"/>
  <c r="I51" i="5"/>
  <c r="I61" i="5"/>
  <c r="S62" i="5"/>
  <c r="U67" i="5"/>
  <c r="P72" i="5"/>
  <c r="I101" i="5"/>
  <c r="I100" i="5" s="1"/>
  <c r="J110" i="5"/>
  <c r="J115" i="5"/>
  <c r="J120" i="5"/>
  <c r="I121" i="5"/>
  <c r="I120" i="5" s="1"/>
  <c r="I136" i="5"/>
  <c r="I135" i="5" s="1"/>
  <c r="I142" i="5"/>
  <c r="K145" i="5"/>
  <c r="I162" i="5"/>
  <c r="P182" i="5"/>
  <c r="O183" i="5"/>
  <c r="K12" i="5"/>
  <c r="R22" i="5"/>
  <c r="P37" i="5"/>
  <c r="I46" i="5"/>
  <c r="J52" i="5"/>
  <c r="I53" i="5"/>
  <c r="I52" i="5" s="1"/>
  <c r="I89" i="5"/>
  <c r="I97" i="5"/>
  <c r="O105" i="5"/>
  <c r="I118" i="5"/>
  <c r="J125" i="5"/>
  <c r="I154" i="5"/>
  <c r="I157" i="5"/>
  <c r="T168" i="5"/>
  <c r="J183" i="5"/>
  <c r="P183" i="5"/>
  <c r="O184" i="5"/>
  <c r="L52" i="5"/>
  <c r="S72" i="5"/>
  <c r="M182" i="5"/>
  <c r="J185" i="5"/>
  <c r="K183" i="5"/>
  <c r="O185" i="5"/>
  <c r="J17" i="5"/>
  <c r="N32" i="5"/>
  <c r="L57" i="5"/>
  <c r="T72" i="5"/>
  <c r="J90" i="5"/>
  <c r="O150" i="5"/>
  <c r="U72" i="5"/>
  <c r="P95" i="5"/>
  <c r="J130" i="5"/>
  <c r="P130" i="5"/>
  <c r="G170" i="5" l="1"/>
  <c r="G172" i="5"/>
  <c r="E110" i="5"/>
  <c r="E115" i="5"/>
  <c r="M177" i="5"/>
  <c r="M170" i="5"/>
  <c r="M172" i="5"/>
  <c r="N174" i="5"/>
  <c r="L187" i="5"/>
  <c r="L188" i="5" s="1"/>
  <c r="I172" i="6"/>
  <c r="I175" i="6" s="1"/>
  <c r="I110" i="5"/>
  <c r="Q187" i="5"/>
  <c r="Q188" i="5" s="1"/>
  <c r="T174" i="5"/>
  <c r="R187" i="5"/>
  <c r="R188" i="5" s="1"/>
  <c r="S187" i="5"/>
  <c r="S188" i="5" s="1"/>
  <c r="J187" i="5"/>
  <c r="J188" i="5" s="1"/>
  <c r="J174" i="5"/>
  <c r="L174" i="5"/>
  <c r="O187" i="5"/>
  <c r="O188" i="5" s="1"/>
  <c r="P174" i="5"/>
  <c r="P187" i="5"/>
  <c r="P188" i="5" s="1"/>
  <c r="R174" i="5"/>
  <c r="U187" i="5"/>
  <c r="U188" i="5" s="1"/>
  <c r="T187" i="5"/>
  <c r="T188" i="5" s="1"/>
  <c r="M187" i="5"/>
  <c r="M188" i="5" s="1"/>
  <c r="Q174" i="5"/>
  <c r="U174" i="5"/>
  <c r="K174" i="5"/>
  <c r="I183" i="5"/>
  <c r="I184" i="5"/>
  <c r="O174" i="5"/>
  <c r="K187" i="5"/>
  <c r="K188" i="5" s="1"/>
  <c r="S174" i="5"/>
  <c r="I168" i="5"/>
  <c r="I185" i="5"/>
  <c r="I182" i="5"/>
  <c r="K177" i="5" l="1"/>
  <c r="K170" i="5"/>
  <c r="K172" i="5"/>
  <c r="N177" i="5"/>
  <c r="N172" i="5"/>
  <c r="N170" i="5"/>
  <c r="U177" i="5"/>
  <c r="U172" i="5"/>
  <c r="U170" i="5"/>
  <c r="E120" i="5"/>
  <c r="E125" i="5" s="1"/>
  <c r="E130" i="5" s="1"/>
  <c r="E135" i="5" s="1"/>
  <c r="E140" i="5" s="1"/>
  <c r="E145" i="5" s="1"/>
  <c r="E150" i="5" s="1"/>
  <c r="E155" i="5" s="1"/>
  <c r="E160" i="5" s="1"/>
  <c r="E170" i="5" s="1"/>
  <c r="E172" i="5" s="1"/>
  <c r="Q177" i="5"/>
  <c r="Q170" i="5"/>
  <c r="Q172" i="5"/>
  <c r="R177" i="5"/>
  <c r="R172" i="5"/>
  <c r="R170" i="5"/>
  <c r="L177" i="5"/>
  <c r="L170" i="5"/>
  <c r="L172" i="5"/>
  <c r="P177" i="5"/>
  <c r="P170" i="5"/>
  <c r="P172" i="5"/>
  <c r="O177" i="5"/>
  <c r="O172" i="5"/>
  <c r="O170" i="5"/>
  <c r="S177" i="5"/>
  <c r="S170" i="5"/>
  <c r="S172" i="5"/>
  <c r="J177" i="5"/>
  <c r="J172" i="5"/>
  <c r="J170" i="5"/>
  <c r="T177" i="5"/>
  <c r="T172" i="5"/>
  <c r="T170" i="5"/>
  <c r="I187" i="5"/>
  <c r="I188" i="5" s="1"/>
  <c r="I177" i="5" l="1"/>
</calcChain>
</file>

<file path=xl/sharedStrings.xml><?xml version="1.0" encoding="utf-8"?>
<sst xmlns="http://schemas.openxmlformats.org/spreadsheetml/2006/main" count="408" uniqueCount="86">
  <si>
    <t>степног</t>
  </si>
  <si>
    <t>ПОД АППАРАТ</t>
  </si>
  <si>
    <t>324 Стипендии</t>
  </si>
  <si>
    <t>СВЕРХ ПНФ</t>
  </si>
  <si>
    <t xml:space="preserve">Соц.обеспечение (питание,стипендия,льготный проезд,обмундирование,пособие)
           </t>
  </si>
  <si>
    <t xml:space="preserve">ПНФ </t>
  </si>
  <si>
    <t>СВОД 024 045</t>
  </si>
  <si>
    <t>контроль 4.20 и фаворит 159</t>
  </si>
  <si>
    <t>Итого</t>
  </si>
  <si>
    <t>Казахский гуманитарно технический колледж</t>
  </si>
  <si>
    <t>Колледж Бурабай</t>
  </si>
  <si>
    <t>Многопроф.колледж при университете Ш.Уалиханова</t>
  </si>
  <si>
    <t>Колледж Максат, г.Степногорск</t>
  </si>
  <si>
    <t>Гуманитарно-тех. колледж, г.Кокшетау</t>
  </si>
  <si>
    <t>Многопроф.колледж гражданской защиты</t>
  </si>
  <si>
    <t>Колледж Арна</t>
  </si>
  <si>
    <t>СВЕРХ ПНФ ФИЛИАЛ</t>
  </si>
  <si>
    <t>Высший колледж города Степногорск</t>
  </si>
  <si>
    <t>Высший техн колледж, Щучинск</t>
  </si>
  <si>
    <t>Агр-индуст колледж, город Атбасар</t>
  </si>
  <si>
    <t>Высший техн колледж, Кокшетау</t>
  </si>
  <si>
    <t xml:space="preserve">Соц.обеспечение (питание,льготный проезд,обмундирование,пособие) без 324
           </t>
  </si>
  <si>
    <t xml:space="preserve"> «Высший педагогический колледж, город Щучинск»</t>
  </si>
  <si>
    <t>«Горно-технический колледж город Степногорск»</t>
  </si>
  <si>
    <t>«Музыкальный колледж имени Биржан сала</t>
  </si>
  <si>
    <t>СВЕРХ ПНФ КОТЕЛЬНАЯ</t>
  </si>
  <si>
    <t>«Высший колледж экологии и лесного хозяйства, город Щучинск»</t>
  </si>
  <si>
    <t xml:space="preserve">Соц.обеспечение (питание,льготный проезд,обмундирование,пособие) без стипендии
           </t>
  </si>
  <si>
    <t>«Сельскохозяйственный колледж, село Катарколь</t>
  </si>
  <si>
    <t>«Высший казахский педагогический колледж имени Ж.Мусина, город Кокшетау</t>
  </si>
  <si>
    <t>Колледж культуры имени Акана серэ</t>
  </si>
  <si>
    <t>Колледж Агробизнеса с Чаглинка</t>
  </si>
  <si>
    <t>Строительный технический колледж г.Кокшетау</t>
  </si>
  <si>
    <t>Агротехнический колледж, Егиндыколь 12</t>
  </si>
  <si>
    <t>Агротехнический колледж, Акколь 10</t>
  </si>
  <si>
    <t>Агротехнический колледж, Жанаесиль 9</t>
  </si>
  <si>
    <t>Агротехнический колледж, Ерейментау 8</t>
  </si>
  <si>
    <t>Агротехнический колледж, Есиль 7</t>
  </si>
  <si>
    <t>Агротехнический колледж, Астраханка 6</t>
  </si>
  <si>
    <t>Агротехнический колледж, Бозайгыр 5</t>
  </si>
  <si>
    <t xml:space="preserve">ПНФ  </t>
  </si>
  <si>
    <t>Агротехнический колледж, Аршалы 4</t>
  </si>
  <si>
    <t>Агротехнический колледж, село Красный яр 3</t>
  </si>
  <si>
    <t>Агротехнический колледж, село Каменка 2</t>
  </si>
  <si>
    <t>Агротехни колледж, Коргалжынский район 1</t>
  </si>
  <si>
    <t>специфика</t>
  </si>
  <si>
    <t>045</t>
  </si>
  <si>
    <t>Подпрограмма</t>
  </si>
  <si>
    <t>024</t>
  </si>
  <si>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</si>
  <si>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</si>
  <si>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</si>
  <si>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</si>
  <si>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</si>
  <si>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</si>
  <si>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</si>
  <si>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</si>
  <si>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</si>
  <si>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</si>
  <si>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</si>
  <si>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январь, выплата только стипендии</t>
  </si>
  <si>
    <t>Программа</t>
  </si>
  <si>
    <t>0251</t>
  </si>
  <si>
    <t>Код государственного учреждения</t>
  </si>
  <si>
    <t>261</t>
  </si>
  <si>
    <t>Финансовый план на год</t>
  </si>
  <si>
    <t>План по месяцам</t>
  </si>
  <si>
    <t>Анализ</t>
  </si>
  <si>
    <t>Наименование расходов ЕЦ</t>
  </si>
  <si>
    <t>Код администратора</t>
  </si>
  <si>
    <t xml:space="preserve">План финансирования
администратора бюджетных программ по платежам на 2022 год
</t>
  </si>
  <si>
    <t>Форма</t>
  </si>
  <si>
    <t>бюджета и его кассового обслуживания</t>
  </si>
  <si>
    <t>к Правилам исполнения</t>
  </si>
  <si>
    <t>Приложение 1</t>
  </si>
  <si>
    <t>Уточненный план на 2021 год</t>
  </si>
  <si>
    <t>ПОД АППАРАТ соц</t>
  </si>
  <si>
    <t>ПОД АППАРАТ подуш</t>
  </si>
  <si>
    <t>ПОД АППАРАТ стипендия</t>
  </si>
  <si>
    <t>ПОД АППАРАТ общие</t>
  </si>
  <si>
    <t>Финансовый план на 2022 год</t>
  </si>
  <si>
    <t>Наименование организаций</t>
  </si>
  <si>
    <t>СВЕРХ ПНФ ФИЛИАЛ ЕЦ</t>
  </si>
  <si>
    <t xml:space="preserve"> </t>
  </si>
  <si>
    <t xml:space="preserve">План финансирования          ГККП"Агротехнический колледж ,город Акколь"
администратора бюджетных программ по платежам на 2022 год
</t>
  </si>
  <si>
    <t>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</si>
</sst>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00"/>
    <numFmt numFmtId="166" formatCode="_-* #,##0.00_р_._-;\-* #,##0.00_р_._-;_-* &quot;-&quot;??_р_._-;_-@_-"/>
    <numFmt numFmtId="167" formatCode="_-* #,##0_р_._-;\-* #,##0_р_._-;_-* &quot;-&quot;??_р_._-;_-@_-"/>
    <numFmt numFmtId="168" formatCode="0_ ;[Red]\-0\ "/>
    <numFmt numFmtId="169" formatCode="_-* #,##0.0_р_._-;\-* #,##0.0_р_._-;_-* &quot;-&quot;??_р_._-;_-@_-"/>
    <numFmt numFmtId="170" formatCode="0.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name val="KZ Times New Roman"/>
      <family val="1"/>
      <charset val="204"/>
    </font>
    <font>
      <sz val="10"/>
      <name val="Arial Cyr"/>
      <family val="2"/>
      <charset val="204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 CYR"/>
      <family val="1"/>
      <charset val="204"/>
    </font>
    <font>
      <sz val="16"/>
      <name val="Arial"/>
      <family val="2"/>
      <charset val="204"/>
    </font>
    <font>
      <sz val="16"/>
      <name val="Calibri"/>
      <family val="2"/>
      <charset val="204"/>
      <scheme val="minor"/>
    </font>
    <font>
      <b/>
      <sz val="16"/>
      <name val="Times New Roman Cyr"/>
      <charset val="204"/>
    </font>
    <font>
      <b/>
      <sz val="18"/>
      <name val="Times New Roman"/>
      <family val="1"/>
      <charset val="204"/>
    </font>
    <font>
      <b/>
      <u/>
      <sz val="18"/>
      <name val="Times New Roman"/>
      <family val="1"/>
      <charset val="204"/>
    </font>
    <font>
      <b/>
      <sz val="18"/>
      <name val="Times New Roman CYR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0" fontId="7" fillId="0" borderId="0"/>
    <xf numFmtId="0" fontId="8" fillId="0" borderId="0"/>
    <xf numFmtId="0" fontId="5" fillId="0" borderId="0"/>
    <xf numFmtId="0" fontId="9" fillId="0" borderId="16">
      <alignment horizontal="left" vertical="top" wrapText="1"/>
    </xf>
    <xf numFmtId="0" fontId="4" fillId="0" borderId="0"/>
    <xf numFmtId="0" fontId="4" fillId="0" borderId="0"/>
    <xf numFmtId="0" fontId="10" fillId="0" borderId="0"/>
  </cellStyleXfs>
  <cellXfs count="199">
    <xf numFmtId="0" fontId="0" fillId="0" borderId="0" xfId="0"/>
    <xf numFmtId="0" fontId="11" fillId="5" borderId="0" xfId="1" applyFont="1" applyFill="1"/>
    <xf numFmtId="0" fontId="11" fillId="5" borderId="0" xfId="1" applyFont="1" applyFill="1" applyAlignment="1">
      <alignment horizontal="right"/>
    </xf>
    <xf numFmtId="0" fontId="11" fillId="5" borderId="1" xfId="1" applyFont="1" applyFill="1" applyBorder="1"/>
    <xf numFmtId="0" fontId="11" fillId="5" borderId="1" xfId="1" applyFont="1" applyFill="1" applyBorder="1" applyAlignment="1">
      <alignment horizontal="left" vertical="top" wrapText="1"/>
    </xf>
    <xf numFmtId="0" fontId="11" fillId="5" borderId="11" xfId="3" applyFont="1" applyFill="1" applyBorder="1" applyAlignment="1" applyProtection="1">
      <alignment horizontal="center" vertical="top" wrapText="1"/>
    </xf>
    <xf numFmtId="0" fontId="13" fillId="5" borderId="6" xfId="3" applyFont="1" applyFill="1" applyBorder="1" applyAlignment="1" applyProtection="1">
      <alignment horizontal="left" vertical="top" wrapText="1"/>
    </xf>
    <xf numFmtId="3" fontId="13" fillId="5" borderId="1" xfId="3" applyNumberFormat="1" applyFont="1" applyFill="1" applyBorder="1" applyAlignment="1">
      <alignment horizontal="center" vertical="center" wrapText="1"/>
    </xf>
    <xf numFmtId="164" fontId="13" fillId="5" borderId="1" xfId="3" applyNumberFormat="1" applyFont="1" applyFill="1" applyBorder="1" applyAlignment="1">
      <alignment horizontal="center" vertical="center" wrapText="1"/>
    </xf>
    <xf numFmtId="164" fontId="14" fillId="5" borderId="1" xfId="3" applyNumberFormat="1" applyFont="1" applyFill="1" applyBorder="1"/>
    <xf numFmtId="3" fontId="14" fillId="5" borderId="1" xfId="3" applyNumberFormat="1" applyFont="1" applyFill="1" applyBorder="1"/>
    <xf numFmtId="164" fontId="11" fillId="5" borderId="1" xfId="1" applyNumberFormat="1" applyFont="1" applyFill="1" applyBorder="1"/>
    <xf numFmtId="3" fontId="11" fillId="5" borderId="1" xfId="1" applyNumberFormat="1" applyFont="1" applyFill="1" applyBorder="1"/>
    <xf numFmtId="164" fontId="11" fillId="5" borderId="1" xfId="1" applyNumberFormat="1" applyFont="1" applyFill="1" applyBorder="1" applyAlignment="1">
      <alignment horizontal="right"/>
    </xf>
    <xf numFmtId="3" fontId="11" fillId="5" borderId="1" xfId="1" applyNumberFormat="1" applyFont="1" applyFill="1" applyBorder="1" applyAlignment="1">
      <alignment horizontal="right"/>
    </xf>
    <xf numFmtId="164" fontId="11" fillId="5" borderId="1" xfId="11" applyNumberFormat="1" applyFont="1" applyFill="1" applyBorder="1"/>
    <xf numFmtId="164" fontId="11" fillId="5" borderId="1" xfId="4" applyNumberFormat="1" applyFont="1" applyFill="1" applyBorder="1" applyAlignment="1">
      <alignment horizontal="right"/>
    </xf>
    <xf numFmtId="3" fontId="11" fillId="5" borderId="1" xfId="4" applyNumberFormat="1" applyFont="1" applyFill="1" applyBorder="1" applyAlignment="1">
      <alignment horizontal="right"/>
    </xf>
    <xf numFmtId="164" fontId="13" fillId="5" borderId="1" xfId="10" applyNumberFormat="1" applyFont="1" applyFill="1" applyBorder="1" applyAlignment="1">
      <alignment horizontal="center" vertical="center" wrapText="1"/>
    </xf>
    <xf numFmtId="3" fontId="13" fillId="5" borderId="1" xfId="10" applyNumberFormat="1" applyFont="1" applyFill="1" applyBorder="1" applyAlignment="1">
      <alignment horizontal="center" vertical="center" wrapText="1"/>
    </xf>
    <xf numFmtId="164" fontId="11" fillId="5" borderId="1" xfId="1" applyNumberFormat="1" applyFont="1" applyFill="1" applyBorder="1" applyAlignment="1" applyProtection="1">
      <alignment horizontal="right" vertical="center" wrapText="1"/>
      <protection locked="0"/>
    </xf>
    <xf numFmtId="3" fontId="11" fillId="5" borderId="1" xfId="1" applyNumberFormat="1" applyFont="1" applyFill="1" applyBorder="1" applyAlignment="1" applyProtection="1">
      <alignment horizontal="right" vertical="center" wrapText="1"/>
      <protection locked="0"/>
    </xf>
    <xf numFmtId="164" fontId="15" fillId="5" borderId="1" xfId="3" applyNumberFormat="1" applyFont="1" applyFill="1" applyBorder="1"/>
    <xf numFmtId="3" fontId="15" fillId="5" borderId="1" xfId="3" applyNumberFormat="1" applyFont="1" applyFill="1" applyBorder="1"/>
    <xf numFmtId="164" fontId="11" fillId="5" borderId="1" xfId="4" applyNumberFormat="1" applyFont="1" applyFill="1" applyBorder="1" applyAlignment="1" applyProtection="1">
      <alignment horizontal="right" vertical="top" wrapText="1"/>
      <protection locked="0"/>
    </xf>
    <xf numFmtId="3" fontId="11" fillId="5" borderId="1" xfId="4" applyNumberFormat="1" applyFont="1" applyFill="1" applyBorder="1" applyAlignment="1" applyProtection="1">
      <alignment horizontal="right" vertical="top" wrapText="1"/>
      <protection locked="0"/>
    </xf>
    <xf numFmtId="3" fontId="11" fillId="5" borderId="1" xfId="1" applyNumberFormat="1" applyFont="1" applyFill="1" applyBorder="1" applyAlignment="1"/>
    <xf numFmtId="164" fontId="11" fillId="5" borderId="1" xfId="4" applyNumberFormat="1" applyFont="1" applyFill="1" applyBorder="1" applyAlignment="1">
      <alignment horizontal="right" vertical="center"/>
    </xf>
    <xf numFmtId="3" fontId="11" fillId="5" borderId="1" xfId="4" applyNumberFormat="1" applyFont="1" applyFill="1" applyBorder="1" applyAlignment="1">
      <alignment horizontal="right" vertical="center"/>
    </xf>
    <xf numFmtId="1" fontId="11" fillId="5" borderId="1" xfId="1" applyNumberFormat="1" applyFont="1" applyFill="1" applyBorder="1" applyAlignment="1" applyProtection="1">
      <alignment horizontal="right" vertical="center" wrapText="1"/>
      <protection locked="0"/>
    </xf>
    <xf numFmtId="164" fontId="16" fillId="5" borderId="1" xfId="3" applyNumberFormat="1" applyFont="1" applyFill="1" applyBorder="1"/>
    <xf numFmtId="3" fontId="16" fillId="5" borderId="1" xfId="3" applyNumberFormat="1" applyFont="1" applyFill="1" applyBorder="1"/>
    <xf numFmtId="164" fontId="14" fillId="5" borderId="2" xfId="3" applyNumberFormat="1" applyFont="1" applyFill="1" applyBorder="1"/>
    <xf numFmtId="3" fontId="14" fillId="5" borderId="2" xfId="3" applyNumberFormat="1" applyFont="1" applyFill="1" applyBorder="1"/>
    <xf numFmtId="164" fontId="11" fillId="5" borderId="1" xfId="8" applyNumberFormat="1" applyFont="1" applyFill="1" applyBorder="1" applyAlignment="1">
      <alignment horizontal="right" vertical="center" wrapText="1"/>
    </xf>
    <xf numFmtId="3" fontId="11" fillId="5" borderId="1" xfId="8" applyNumberFormat="1" applyFont="1" applyFill="1" applyBorder="1" applyAlignment="1">
      <alignment horizontal="right" vertical="center" wrapText="1"/>
    </xf>
    <xf numFmtId="164" fontId="11" fillId="5" borderId="1" xfId="4" applyNumberFormat="1" applyFont="1" applyFill="1" applyBorder="1" applyAlignment="1">
      <alignment horizontal="right" wrapText="1"/>
    </xf>
    <xf numFmtId="3" fontId="11" fillId="5" borderId="1" xfId="4" applyNumberFormat="1" applyFont="1" applyFill="1" applyBorder="1" applyAlignment="1">
      <alignment horizontal="right" wrapText="1"/>
    </xf>
    <xf numFmtId="3" fontId="11" fillId="5" borderId="1" xfId="3" applyNumberFormat="1" applyFont="1" applyFill="1" applyBorder="1" applyAlignment="1">
      <alignment horizontal="center" vertical="center" wrapText="1"/>
    </xf>
    <xf numFmtId="164" fontId="11" fillId="5" borderId="1" xfId="3" applyNumberFormat="1" applyFont="1" applyFill="1" applyBorder="1" applyAlignment="1">
      <alignment horizontal="center" vertical="center" wrapText="1"/>
    </xf>
    <xf numFmtId="0" fontId="13" fillId="5" borderId="6" xfId="3" applyFont="1" applyFill="1" applyBorder="1" applyAlignment="1" applyProtection="1">
      <alignment horizontal="center" vertical="top" wrapText="1"/>
    </xf>
    <xf numFmtId="164" fontId="11" fillId="5" borderId="1" xfId="4" applyNumberFormat="1" applyFont="1" applyFill="1" applyBorder="1" applyAlignment="1">
      <alignment horizontal="right" vertical="top"/>
    </xf>
    <xf numFmtId="3" fontId="11" fillId="5" borderId="1" xfId="4" applyNumberFormat="1" applyFont="1" applyFill="1" applyBorder="1" applyAlignment="1">
      <alignment horizontal="right" vertical="top"/>
    </xf>
    <xf numFmtId="164" fontId="11" fillId="5" borderId="1" xfId="1" applyNumberFormat="1" applyFont="1" applyFill="1" applyBorder="1" applyAlignment="1"/>
    <xf numFmtId="164" fontId="13" fillId="5" borderId="1" xfId="1" applyNumberFormat="1" applyFont="1" applyFill="1" applyBorder="1" applyAlignment="1">
      <alignment horizontal="center" vertical="center"/>
    </xf>
    <xf numFmtId="3" fontId="11" fillId="5" borderId="1" xfId="1" applyNumberFormat="1" applyFont="1" applyFill="1" applyBorder="1" applyAlignment="1" applyProtection="1">
      <alignment horizontal="right"/>
      <protection locked="0"/>
    </xf>
    <xf numFmtId="0" fontId="13" fillId="5" borderId="11" xfId="3" applyFont="1" applyFill="1" applyBorder="1" applyAlignment="1" applyProtection="1">
      <alignment horizontal="center" vertical="top" wrapText="1"/>
    </xf>
    <xf numFmtId="164" fontId="11" fillId="5" borderId="1" xfId="3" applyNumberFormat="1" applyFont="1" applyFill="1" applyBorder="1" applyAlignment="1">
      <alignment horizontal="right"/>
    </xf>
    <xf numFmtId="3" fontId="11" fillId="5" borderId="1" xfId="3" applyNumberFormat="1" applyFont="1" applyFill="1" applyBorder="1" applyAlignment="1">
      <alignment horizontal="right"/>
    </xf>
    <xf numFmtId="170" fontId="13" fillId="5" borderId="1" xfId="3" applyNumberFormat="1" applyFont="1" applyFill="1" applyBorder="1" applyAlignment="1">
      <alignment horizontal="center"/>
    </xf>
    <xf numFmtId="164" fontId="11" fillId="5" borderId="1" xfId="9" applyNumberFormat="1" applyFont="1" applyFill="1" applyBorder="1" applyAlignment="1">
      <alignment horizontal="right"/>
    </xf>
    <xf numFmtId="1" fontId="11" fillId="5" borderId="1" xfId="9" applyNumberFormat="1" applyFont="1" applyFill="1" applyBorder="1" applyAlignment="1">
      <alignment horizontal="right"/>
    </xf>
    <xf numFmtId="1" fontId="13" fillId="5" borderId="1" xfId="9" applyNumberFormat="1" applyFont="1" applyFill="1" applyBorder="1" applyAlignment="1">
      <alignment horizontal="right"/>
    </xf>
    <xf numFmtId="164" fontId="11" fillId="5" borderId="1" xfId="1" applyNumberFormat="1" applyFont="1" applyFill="1" applyBorder="1" applyAlignment="1">
      <alignment horizontal="right" vertical="center"/>
    </xf>
    <xf numFmtId="3" fontId="11" fillId="5" borderId="1" xfId="1" applyNumberFormat="1" applyFont="1" applyFill="1" applyBorder="1" applyAlignment="1">
      <alignment horizontal="right" vertical="center"/>
    </xf>
    <xf numFmtId="3" fontId="11" fillId="5" borderId="1" xfId="3" applyNumberFormat="1" applyFont="1" applyFill="1" applyBorder="1" applyAlignment="1">
      <alignment horizontal="right" vertical="center" wrapText="1"/>
    </xf>
    <xf numFmtId="164" fontId="14" fillId="5" borderId="1" xfId="10" applyNumberFormat="1" applyFont="1" applyFill="1" applyBorder="1"/>
    <xf numFmtId="3" fontId="14" fillId="5" borderId="1" xfId="10" applyNumberFormat="1" applyFont="1" applyFill="1" applyBorder="1"/>
    <xf numFmtId="1" fontId="14" fillId="5" borderId="1" xfId="10" applyNumberFormat="1" applyFont="1" applyFill="1" applyBorder="1"/>
    <xf numFmtId="0" fontId="13" fillId="5" borderId="1" xfId="1" applyFont="1" applyFill="1" applyBorder="1"/>
    <xf numFmtId="0" fontId="13" fillId="5" borderId="0" xfId="1" applyFont="1" applyFill="1"/>
    <xf numFmtId="164" fontId="11" fillId="5" borderId="1" xfId="3" applyNumberFormat="1" applyFont="1" applyFill="1" applyBorder="1" applyAlignment="1">
      <alignment horizontal="right" vertical="center"/>
    </xf>
    <xf numFmtId="3" fontId="11" fillId="5" borderId="1" xfId="3" applyNumberFormat="1" applyFont="1" applyFill="1" applyBorder="1" applyAlignment="1">
      <alignment horizontal="right" vertical="center"/>
    </xf>
    <xf numFmtId="164" fontId="11" fillId="5" borderId="13" xfId="3" applyNumberFormat="1" applyFont="1" applyFill="1" applyBorder="1" applyAlignment="1">
      <alignment horizontal="right" vertical="center"/>
    </xf>
    <xf numFmtId="3" fontId="11" fillId="5" borderId="13" xfId="3" applyNumberFormat="1" applyFont="1" applyFill="1" applyBorder="1" applyAlignment="1">
      <alignment horizontal="right" vertical="center"/>
    </xf>
    <xf numFmtId="168" fontId="11" fillId="5" borderId="1" xfId="4" applyNumberFormat="1" applyFont="1" applyFill="1" applyBorder="1" applyAlignment="1">
      <alignment horizontal="right"/>
    </xf>
    <xf numFmtId="168" fontId="11" fillId="5" borderId="1" xfId="1" applyNumberFormat="1" applyFont="1" applyFill="1" applyBorder="1" applyAlignment="1">
      <alignment horizontal="right"/>
    </xf>
    <xf numFmtId="0" fontId="13" fillId="5" borderId="0" xfId="3" applyFont="1" applyFill="1" applyBorder="1" applyAlignment="1">
      <alignment vertical="top" wrapText="1"/>
    </xf>
    <xf numFmtId="164" fontId="11" fillId="5" borderId="1" xfId="1" applyNumberFormat="1" applyFont="1" applyFill="1" applyBorder="1" applyAlignment="1">
      <alignment horizontal="center" vertical="center"/>
    </xf>
    <xf numFmtId="4" fontId="11" fillId="5" borderId="1" xfId="1" applyNumberFormat="1" applyFont="1" applyFill="1" applyBorder="1" applyAlignment="1">
      <alignment horizontal="center" vertical="center"/>
    </xf>
    <xf numFmtId="164" fontId="13" fillId="5" borderId="1" xfId="4" applyNumberFormat="1" applyFont="1" applyFill="1" applyBorder="1" applyAlignment="1">
      <alignment horizontal="center" vertical="center" wrapText="1"/>
    </xf>
    <xf numFmtId="0" fontId="13" fillId="5" borderId="9" xfId="3" applyFont="1" applyFill="1" applyBorder="1" applyAlignment="1">
      <alignment vertical="top" wrapText="1"/>
    </xf>
    <xf numFmtId="164" fontId="11" fillId="5" borderId="1" xfId="3" applyNumberFormat="1" applyFont="1" applyFill="1" applyBorder="1" applyAlignment="1">
      <alignment horizontal="right" vertical="center" wrapText="1"/>
    </xf>
    <xf numFmtId="0" fontId="13" fillId="5" borderId="0" xfId="3" applyFont="1" applyFill="1" applyBorder="1" applyAlignment="1" applyProtection="1">
      <alignment horizontal="left" vertical="top" wrapText="1"/>
    </xf>
    <xf numFmtId="1" fontId="11" fillId="5" borderId="1" xfId="4" applyNumberFormat="1" applyFont="1" applyFill="1" applyBorder="1" applyAlignment="1">
      <alignment horizontal="right"/>
    </xf>
    <xf numFmtId="0" fontId="13" fillId="5" borderId="9" xfId="3" applyFont="1" applyFill="1" applyBorder="1" applyAlignment="1" applyProtection="1">
      <alignment horizontal="left" vertical="top" wrapText="1"/>
    </xf>
    <xf numFmtId="4" fontId="13" fillId="5" borderId="1" xfId="1" applyNumberFormat="1" applyFont="1" applyFill="1" applyBorder="1" applyAlignment="1">
      <alignment horizontal="center"/>
    </xf>
    <xf numFmtId="0" fontId="11" fillId="5" borderId="0" xfId="1" applyFont="1" applyFill="1" applyBorder="1"/>
    <xf numFmtId="164" fontId="11" fillId="5" borderId="1" xfId="3" applyNumberFormat="1" applyFont="1" applyFill="1" applyBorder="1" applyAlignment="1"/>
    <xf numFmtId="3" fontId="11" fillId="5" borderId="1" xfId="3" applyNumberFormat="1" applyFont="1" applyFill="1" applyBorder="1" applyAlignment="1"/>
    <xf numFmtId="169" fontId="17" fillId="5" borderId="1" xfId="8" applyNumberFormat="1" applyFont="1" applyFill="1" applyBorder="1" applyAlignment="1">
      <alignment horizontal="center"/>
    </xf>
    <xf numFmtId="3" fontId="13" fillId="5" borderId="0" xfId="3" applyNumberFormat="1" applyFont="1" applyFill="1" applyBorder="1" applyAlignment="1">
      <alignment horizontal="center" vertical="center" wrapText="1"/>
    </xf>
    <xf numFmtId="164" fontId="11" fillId="5" borderId="1" xfId="7" applyNumberFormat="1" applyFont="1" applyFill="1" applyBorder="1" applyAlignment="1">
      <alignment horizontal="right"/>
    </xf>
    <xf numFmtId="167" fontId="11" fillId="5" borderId="1" xfId="7" applyNumberFormat="1" applyFont="1" applyFill="1" applyBorder="1" applyAlignment="1">
      <alignment horizontal="right"/>
    </xf>
    <xf numFmtId="167" fontId="11" fillId="5" borderId="1" xfId="7" applyNumberFormat="1" applyFont="1" applyFill="1" applyBorder="1" applyAlignment="1"/>
    <xf numFmtId="168" fontId="11" fillId="5" borderId="1" xfId="4" applyNumberFormat="1" applyFont="1" applyFill="1" applyBorder="1" applyAlignment="1">
      <alignment horizontal="right" vertical="center"/>
    </xf>
    <xf numFmtId="0" fontId="13" fillId="5" borderId="12" xfId="3" applyFont="1" applyFill="1" applyBorder="1" applyAlignment="1" applyProtection="1">
      <alignment horizontal="left" vertical="top" wrapText="1"/>
    </xf>
    <xf numFmtId="0" fontId="13" fillId="5" borderId="0" xfId="1" applyFont="1" applyFill="1" applyBorder="1"/>
    <xf numFmtId="164" fontId="11" fillId="5" borderId="1" xfId="3" applyNumberFormat="1" applyFont="1" applyFill="1" applyBorder="1"/>
    <xf numFmtId="3" fontId="11" fillId="5" borderId="1" xfId="3" applyNumberFormat="1" applyFont="1" applyFill="1" applyBorder="1"/>
    <xf numFmtId="0" fontId="11" fillId="5" borderId="10" xfId="3" applyFont="1" applyFill="1" applyBorder="1" applyAlignment="1" applyProtection="1">
      <alignment horizontal="center" vertical="top" wrapText="1"/>
    </xf>
    <xf numFmtId="0" fontId="11" fillId="5" borderId="1" xfId="3" applyFont="1" applyFill="1" applyBorder="1" applyAlignment="1" applyProtection="1">
      <alignment horizontal="center" vertical="top" wrapText="1"/>
    </xf>
    <xf numFmtId="0" fontId="13" fillId="5" borderId="1" xfId="3" applyFont="1" applyFill="1" applyBorder="1" applyAlignment="1" applyProtection="1">
      <alignment horizontal="center" vertical="top" wrapText="1"/>
    </xf>
    <xf numFmtId="0" fontId="13" fillId="5" borderId="7" xfId="3" applyFont="1" applyFill="1" applyBorder="1" applyAlignment="1" applyProtection="1">
      <alignment horizontal="left" vertical="top" wrapText="1"/>
    </xf>
    <xf numFmtId="3" fontId="13" fillId="5" borderId="1" xfId="4" applyNumberFormat="1" applyFont="1" applyFill="1" applyBorder="1" applyAlignment="1">
      <alignment horizontal="center" vertical="center" wrapText="1"/>
    </xf>
    <xf numFmtId="164" fontId="11" fillId="5" borderId="1" xfId="5" applyNumberFormat="1" applyFont="1" applyFill="1" applyBorder="1" applyAlignment="1">
      <alignment horizontal="right" vertical="center"/>
    </xf>
    <xf numFmtId="167" fontId="11" fillId="5" borderId="1" xfId="5" applyNumberFormat="1" applyFont="1" applyFill="1" applyBorder="1" applyAlignment="1">
      <alignment horizontal="right" vertical="center"/>
    </xf>
    <xf numFmtId="3" fontId="13" fillId="5" borderId="1" xfId="1" applyNumberFormat="1" applyFont="1" applyFill="1" applyBorder="1" applyAlignment="1">
      <alignment horizontal="right"/>
    </xf>
    <xf numFmtId="165" fontId="13" fillId="5" borderId="9" xfId="1" applyNumberFormat="1" applyFont="1" applyFill="1" applyBorder="1" applyAlignment="1">
      <alignment horizontal="left" vertical="center"/>
    </xf>
    <xf numFmtId="3" fontId="11" fillId="5" borderId="0" xfId="1" applyNumberFormat="1" applyFont="1" applyFill="1" applyAlignment="1">
      <alignment horizontal="center"/>
    </xf>
    <xf numFmtId="3" fontId="11" fillId="5" borderId="8" xfId="1" applyNumberFormat="1" applyFont="1" applyFill="1" applyBorder="1" applyAlignment="1">
      <alignment horizontal="center"/>
    </xf>
    <xf numFmtId="164" fontId="11" fillId="5" borderId="1" xfId="2" applyNumberFormat="1" applyFont="1" applyFill="1" applyBorder="1"/>
    <xf numFmtId="164" fontId="11" fillId="5" borderId="0" xfId="2" applyNumberFormat="1" applyFont="1" applyFill="1" applyBorder="1"/>
    <xf numFmtId="16" fontId="11" fillId="5" borderId="0" xfId="1" applyNumberFormat="1" applyFont="1" applyFill="1" applyAlignment="1">
      <alignment horizontal="center" wrapText="1"/>
    </xf>
    <xf numFmtId="3" fontId="11" fillId="5" borderId="0" xfId="2" applyNumberFormat="1" applyFont="1" applyFill="1" applyBorder="1"/>
    <xf numFmtId="3" fontId="11" fillId="5" borderId="0" xfId="1" applyNumberFormat="1" applyFont="1" applyFill="1"/>
    <xf numFmtId="0" fontId="13" fillId="5" borderId="17" xfId="3" applyFont="1" applyFill="1" applyBorder="1" applyAlignment="1" applyProtection="1">
      <alignment horizontal="center" vertical="top" wrapText="1"/>
    </xf>
    <xf numFmtId="0" fontId="11" fillId="5" borderId="2" xfId="3" applyFont="1" applyFill="1" applyBorder="1" applyAlignment="1" applyProtection="1">
      <alignment horizontal="center" vertical="top" wrapText="1"/>
    </xf>
    <xf numFmtId="0" fontId="13" fillId="5" borderId="3" xfId="3" applyFont="1" applyFill="1" applyBorder="1" applyAlignment="1" applyProtection="1">
      <alignment horizontal="left" vertical="top" wrapText="1"/>
    </xf>
    <xf numFmtId="3" fontId="13" fillId="5" borderId="2" xfId="4" applyNumberFormat="1" applyFont="1" applyFill="1" applyBorder="1" applyAlignment="1">
      <alignment horizontal="center" vertical="center" wrapText="1"/>
    </xf>
    <xf numFmtId="49" fontId="11" fillId="5" borderId="0" xfId="1" applyNumberFormat="1" applyFont="1" applyFill="1" applyBorder="1" applyAlignment="1">
      <alignment horizontal="center" vertical="top"/>
    </xf>
    <xf numFmtId="49" fontId="11" fillId="5" borderId="0" xfId="1" applyNumberFormat="1" applyFont="1" applyFill="1" applyBorder="1" applyAlignment="1">
      <alignment horizontal="center" vertical="top" wrapText="1"/>
    </xf>
    <xf numFmtId="0" fontId="11" fillId="4" borderId="0" xfId="1" applyFont="1" applyFill="1"/>
    <xf numFmtId="0" fontId="13" fillId="5" borderId="3" xfId="3" applyFont="1" applyFill="1" applyBorder="1" applyAlignment="1" applyProtection="1">
      <alignment horizontal="center" vertical="top" wrapText="1"/>
    </xf>
    <xf numFmtId="0" fontId="13" fillId="5" borderId="1" xfId="3" applyFont="1" applyFill="1" applyBorder="1" applyAlignment="1" applyProtection="1">
      <alignment horizontal="left" vertical="top" wrapText="1"/>
    </xf>
    <xf numFmtId="3" fontId="13" fillId="2" borderId="1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6" borderId="1" xfId="1" applyNumberFormat="1" applyFont="1" applyFill="1" applyBorder="1" applyAlignment="1">
      <alignment horizontal="right"/>
    </xf>
    <xf numFmtId="0" fontId="11" fillId="5" borderId="0" xfId="3" applyFont="1" applyFill="1" applyBorder="1" applyAlignment="1">
      <alignment horizontal="left" vertical="center"/>
    </xf>
    <xf numFmtId="49" fontId="11" fillId="5" borderId="5" xfId="1" applyNumberFormat="1" applyFont="1" applyFill="1" applyBorder="1" applyAlignment="1">
      <alignment horizontal="center" vertical="top"/>
    </xf>
    <xf numFmtId="49" fontId="11" fillId="5" borderId="5" xfId="1" applyNumberFormat="1" applyFont="1" applyFill="1" applyBorder="1" applyAlignment="1">
      <alignment horizontal="center" vertical="top" wrapText="1"/>
    </xf>
    <xf numFmtId="49" fontId="11" fillId="5" borderId="4" xfId="1" applyNumberFormat="1" applyFont="1" applyFill="1" applyBorder="1" applyAlignment="1">
      <alignment horizontal="center" vertical="top" wrapText="1"/>
    </xf>
    <xf numFmtId="165" fontId="13" fillId="5" borderId="1" xfId="1" applyNumberFormat="1" applyFont="1" applyFill="1" applyBorder="1" applyAlignment="1">
      <alignment horizontal="left" vertical="center"/>
    </xf>
    <xf numFmtId="0" fontId="11" fillId="5" borderId="0" xfId="1" applyFont="1" applyFill="1" applyAlignment="1">
      <alignment horizontal="center" wrapText="1"/>
    </xf>
    <xf numFmtId="0" fontId="13" fillId="2" borderId="6" xfId="3" applyFont="1" applyFill="1" applyBorder="1" applyAlignment="1" applyProtection="1">
      <alignment horizontal="left" vertical="top" wrapText="1"/>
    </xf>
    <xf numFmtId="3" fontId="13" fillId="2" borderId="1" xfId="3" applyNumberFormat="1" applyFont="1" applyFill="1" applyBorder="1" applyAlignment="1">
      <alignment horizontal="center" vertical="center" wrapText="1"/>
    </xf>
    <xf numFmtId="0" fontId="13" fillId="2" borderId="6" xfId="3" applyFont="1" applyFill="1" applyBorder="1" applyAlignment="1" applyProtection="1">
      <alignment horizontal="center" vertical="top" wrapText="1"/>
    </xf>
    <xf numFmtId="0" fontId="11" fillId="2" borderId="11" xfId="3" applyFont="1" applyFill="1" applyBorder="1" applyAlignment="1" applyProtection="1">
      <alignment horizontal="center" vertical="top" wrapText="1"/>
    </xf>
    <xf numFmtId="0" fontId="13" fillId="2" borderId="11" xfId="3" applyFont="1" applyFill="1" applyBorder="1" applyAlignment="1" applyProtection="1">
      <alignment horizontal="center" vertical="top" wrapText="1"/>
    </xf>
    <xf numFmtId="164" fontId="11" fillId="5" borderId="0" xfId="1" applyNumberFormat="1" applyFont="1" applyFill="1"/>
    <xf numFmtId="164" fontId="13" fillId="5" borderId="0" xfId="1" applyNumberFormat="1" applyFont="1" applyFill="1"/>
    <xf numFmtId="0" fontId="18" fillId="7" borderId="6" xfId="3" applyFont="1" applyFill="1" applyBorder="1" applyAlignment="1" applyProtection="1">
      <alignment horizontal="left" vertical="top" wrapText="1"/>
    </xf>
    <xf numFmtId="3" fontId="18" fillId="5" borderId="1" xfId="3" applyNumberFormat="1" applyFont="1" applyFill="1" applyBorder="1" applyAlignment="1">
      <alignment horizontal="center" vertical="center" wrapText="1"/>
    </xf>
    <xf numFmtId="164" fontId="18" fillId="5" borderId="1" xfId="3" applyNumberFormat="1" applyFont="1" applyFill="1" applyBorder="1" applyAlignment="1">
      <alignment horizontal="center" vertical="center" wrapText="1"/>
    </xf>
    <xf numFmtId="3" fontId="18" fillId="3" borderId="1" xfId="3" applyNumberFormat="1" applyFont="1" applyFill="1" applyBorder="1" applyAlignment="1">
      <alignment horizontal="center" vertical="center" wrapText="1"/>
    </xf>
    <xf numFmtId="0" fontId="18" fillId="5" borderId="0" xfId="1" applyFont="1" applyFill="1"/>
    <xf numFmtId="0" fontId="18" fillId="5" borderId="0" xfId="1" applyFont="1" applyFill="1" applyAlignment="1">
      <alignment horizontal="right"/>
    </xf>
    <xf numFmtId="0" fontId="18" fillId="5" borderId="0" xfId="3" applyFont="1" applyFill="1" applyBorder="1" applyAlignment="1">
      <alignment horizontal="left" vertical="center"/>
    </xf>
    <xf numFmtId="0" fontId="18" fillId="5" borderId="1" xfId="1" applyFont="1" applyFill="1" applyBorder="1" applyAlignment="1">
      <alignment horizontal="left" vertical="top" wrapText="1"/>
    </xf>
    <xf numFmtId="0" fontId="18" fillId="5" borderId="11" xfId="3" applyFont="1" applyFill="1" applyBorder="1" applyAlignment="1" applyProtection="1">
      <alignment horizontal="center" vertical="top" wrapText="1"/>
    </xf>
    <xf numFmtId="0" fontId="18" fillId="5" borderId="6" xfId="3" applyFont="1" applyFill="1" applyBorder="1" applyAlignment="1" applyProtection="1">
      <alignment horizontal="left" vertical="top" wrapText="1"/>
    </xf>
    <xf numFmtId="164" fontId="20" fillId="5" borderId="1" xfId="3" applyNumberFormat="1" applyFont="1" applyFill="1" applyBorder="1"/>
    <xf numFmtId="3" fontId="20" fillId="5" borderId="1" xfId="3" applyNumberFormat="1" applyFont="1" applyFill="1" applyBorder="1"/>
    <xf numFmtId="164" fontId="18" fillId="5" borderId="1" xfId="1" applyNumberFormat="1" applyFont="1" applyFill="1" applyBorder="1"/>
    <xf numFmtId="3" fontId="18" fillId="5" borderId="1" xfId="1" applyNumberFormat="1" applyFont="1" applyFill="1" applyBorder="1"/>
    <xf numFmtId="3" fontId="18" fillId="5" borderId="1" xfId="1" applyNumberFormat="1" applyFont="1" applyFill="1" applyBorder="1" applyAlignment="1">
      <alignment horizontal="right"/>
    </xf>
    <xf numFmtId="0" fontId="18" fillId="5" borderId="1" xfId="1" applyFont="1" applyFill="1" applyBorder="1" applyAlignment="1">
      <alignment horizontal="center" vertical="center" textRotation="90"/>
    </xf>
    <xf numFmtId="0" fontId="11" fillId="5" borderId="1" xfId="1" applyFont="1" applyFill="1" applyBorder="1" applyAlignment="1">
      <alignment horizontal="center" vertical="center" wrapText="1"/>
    </xf>
    <xf numFmtId="0" fontId="18" fillId="5" borderId="1" xfId="1" applyFont="1" applyFill="1" applyBorder="1" applyAlignment="1">
      <alignment horizontal="center" vertical="top" wrapText="1"/>
    </xf>
    <xf numFmtId="49" fontId="18" fillId="5" borderId="2" xfId="1" applyNumberFormat="1" applyFont="1" applyFill="1" applyBorder="1" applyAlignment="1">
      <alignment horizontal="center" vertical="top" wrapText="1"/>
    </xf>
    <xf numFmtId="49" fontId="18" fillId="5" borderId="5" xfId="1" applyNumberFormat="1" applyFont="1" applyFill="1" applyBorder="1" applyAlignment="1">
      <alignment horizontal="center" vertical="top" wrapText="1"/>
    </xf>
    <xf numFmtId="0" fontId="18" fillId="5" borderId="2" xfId="1" applyFont="1" applyFill="1" applyBorder="1" applyAlignment="1">
      <alignment horizontal="center" vertical="center" wrapText="1"/>
    </xf>
    <xf numFmtId="0" fontId="18" fillId="5" borderId="5" xfId="1" applyFont="1" applyFill="1" applyBorder="1" applyAlignment="1">
      <alignment horizontal="center" vertical="center" wrapText="1"/>
    </xf>
    <xf numFmtId="0" fontId="18" fillId="5" borderId="13" xfId="1" applyFont="1" applyFill="1" applyBorder="1" applyAlignment="1">
      <alignment horizontal="center" vertical="center" wrapText="1"/>
    </xf>
    <xf numFmtId="0" fontId="19" fillId="5" borderId="0" xfId="3" applyFont="1" applyFill="1" applyBorder="1" applyAlignment="1">
      <alignment horizontal="left" vertical="center"/>
    </xf>
    <xf numFmtId="0" fontId="18" fillId="5" borderId="0" xfId="3" applyFont="1" applyFill="1" applyBorder="1" applyAlignment="1">
      <alignment horizontal="left" vertical="center"/>
    </xf>
    <xf numFmtId="0" fontId="18" fillId="5" borderId="0" xfId="1" applyFont="1" applyFill="1" applyBorder="1" applyAlignment="1">
      <alignment horizontal="center" wrapText="1"/>
    </xf>
    <xf numFmtId="0" fontId="18" fillId="5" borderId="0" xfId="1" applyFont="1" applyFill="1" applyBorder="1" applyAlignment="1">
      <alignment horizontal="center"/>
    </xf>
    <xf numFmtId="0" fontId="18" fillId="5" borderId="15" xfId="1" applyFont="1" applyFill="1" applyBorder="1" applyAlignment="1">
      <alignment horizontal="center" vertical="top" wrapText="1"/>
    </xf>
    <xf numFmtId="0" fontId="18" fillId="5" borderId="3" xfId="1" applyFont="1" applyFill="1" applyBorder="1" applyAlignment="1">
      <alignment horizontal="center" vertical="top" wrapText="1"/>
    </xf>
    <xf numFmtId="0" fontId="18" fillId="5" borderId="1" xfId="1" applyFont="1" applyFill="1" applyBorder="1" applyAlignment="1">
      <alignment horizontal="center" vertical="center" wrapText="1"/>
    </xf>
    <xf numFmtId="49" fontId="18" fillId="5" borderId="14" xfId="1" applyNumberFormat="1" applyFont="1" applyFill="1" applyBorder="1" applyAlignment="1">
      <alignment horizontal="center" vertical="top" wrapText="1"/>
    </xf>
    <xf numFmtId="49" fontId="18" fillId="5" borderId="4" xfId="1" applyNumberFormat="1" applyFont="1" applyFill="1" applyBorder="1" applyAlignment="1">
      <alignment horizontal="center" vertical="top" wrapText="1"/>
    </xf>
    <xf numFmtId="49" fontId="18" fillId="5" borderId="2" xfId="1" applyNumberFormat="1" applyFont="1" applyFill="1" applyBorder="1" applyAlignment="1">
      <alignment horizontal="center" vertical="top"/>
    </xf>
    <xf numFmtId="49" fontId="18" fillId="5" borderId="5" xfId="1" applyNumberFormat="1" applyFont="1" applyFill="1" applyBorder="1" applyAlignment="1">
      <alignment horizontal="center" vertical="top"/>
    </xf>
    <xf numFmtId="0" fontId="11" fillId="5" borderId="1" xfId="1" applyFont="1" applyFill="1" applyBorder="1" applyAlignment="1">
      <alignment horizontal="center" vertical="center" textRotation="90"/>
    </xf>
    <xf numFmtId="49" fontId="11" fillId="5" borderId="2" xfId="1" applyNumberFormat="1" applyFont="1" applyFill="1" applyBorder="1" applyAlignment="1">
      <alignment horizontal="center" vertical="top"/>
    </xf>
    <xf numFmtId="49" fontId="11" fillId="5" borderId="5" xfId="1" applyNumberFormat="1" applyFont="1" applyFill="1" applyBorder="1" applyAlignment="1">
      <alignment horizontal="center" vertical="top"/>
    </xf>
    <xf numFmtId="0" fontId="11" fillId="5" borderId="1" xfId="1" applyFont="1" applyFill="1" applyBorder="1" applyAlignment="1">
      <alignment horizontal="center" vertical="top" wrapText="1"/>
    </xf>
    <xf numFmtId="49" fontId="11" fillId="5" borderId="2" xfId="1" applyNumberFormat="1" applyFont="1" applyFill="1" applyBorder="1" applyAlignment="1">
      <alignment horizontal="center" vertical="top" wrapText="1"/>
    </xf>
    <xf numFmtId="49" fontId="11" fillId="5" borderId="5" xfId="1" applyNumberFormat="1" applyFont="1" applyFill="1" applyBorder="1" applyAlignment="1">
      <alignment horizontal="center" vertical="top" wrapText="1"/>
    </xf>
    <xf numFmtId="0" fontId="11" fillId="5" borderId="2" xfId="1" applyFont="1" applyFill="1" applyBorder="1" applyAlignment="1">
      <alignment horizontal="center" vertical="center" wrapText="1"/>
    </xf>
    <xf numFmtId="0" fontId="11" fillId="5" borderId="5" xfId="1" applyFont="1" applyFill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horizontal="left" vertical="center"/>
    </xf>
    <xf numFmtId="0" fontId="11" fillId="5" borderId="0" xfId="3" applyFont="1" applyFill="1" applyBorder="1" applyAlignment="1">
      <alignment horizontal="left" vertical="center"/>
    </xf>
    <xf numFmtId="0" fontId="13" fillId="5" borderId="0" xfId="1" applyFont="1" applyFill="1" applyBorder="1" applyAlignment="1">
      <alignment horizontal="center" wrapText="1"/>
    </xf>
    <xf numFmtId="0" fontId="13" fillId="5" borderId="0" xfId="1" applyFont="1" applyFill="1" applyBorder="1" applyAlignment="1">
      <alignment horizontal="center"/>
    </xf>
    <xf numFmtId="0" fontId="11" fillId="5" borderId="15" xfId="1" applyFont="1" applyFill="1" applyBorder="1" applyAlignment="1">
      <alignment horizontal="center" vertical="top" wrapText="1"/>
    </xf>
    <xf numFmtId="0" fontId="11" fillId="5" borderId="3" xfId="1" applyFont="1" applyFill="1" applyBorder="1" applyAlignment="1">
      <alignment horizontal="center" vertical="top" wrapText="1"/>
    </xf>
    <xf numFmtId="49" fontId="11" fillId="5" borderId="14" xfId="1" applyNumberFormat="1" applyFont="1" applyFill="1" applyBorder="1" applyAlignment="1">
      <alignment horizontal="center" vertical="top" wrapText="1"/>
    </xf>
    <xf numFmtId="49" fontId="11" fillId="5" borderId="4" xfId="1" applyNumberFormat="1" applyFont="1" applyFill="1" applyBorder="1" applyAlignment="1">
      <alignment horizontal="center" vertical="top" wrapText="1"/>
    </xf>
    <xf numFmtId="0" fontId="11" fillId="5" borderId="9" xfId="1" applyFont="1" applyFill="1" applyBorder="1" applyAlignment="1">
      <alignment horizontal="center"/>
    </xf>
    <xf numFmtId="0" fontId="11" fillId="5" borderId="23" xfId="1" applyFont="1" applyFill="1" applyBorder="1" applyAlignment="1">
      <alignment horizontal="center"/>
    </xf>
    <xf numFmtId="0" fontId="11" fillId="5" borderId="24" xfId="1" applyFont="1" applyFill="1" applyBorder="1" applyAlignment="1">
      <alignment horizontal="center"/>
    </xf>
    <xf numFmtId="0" fontId="11" fillId="5" borderId="14" xfId="1" applyFont="1" applyFill="1" applyBorder="1" applyAlignment="1">
      <alignment horizontal="center"/>
    </xf>
    <xf numFmtId="0" fontId="11" fillId="5" borderId="8" xfId="1" applyFont="1" applyFill="1" applyBorder="1" applyAlignment="1">
      <alignment horizontal="center"/>
    </xf>
    <xf numFmtId="0" fontId="11" fillId="5" borderId="18" xfId="1" applyFont="1" applyFill="1" applyBorder="1" applyAlignment="1">
      <alignment horizontal="center"/>
    </xf>
    <xf numFmtId="0" fontId="11" fillId="5" borderId="4" xfId="1" applyFont="1" applyFill="1" applyBorder="1" applyAlignment="1">
      <alignment horizontal="center"/>
    </xf>
    <xf numFmtId="0" fontId="11" fillId="5" borderId="0" xfId="1" applyFont="1" applyFill="1" applyBorder="1" applyAlignment="1">
      <alignment horizontal="center"/>
    </xf>
    <xf numFmtId="0" fontId="11" fillId="5" borderId="19" xfId="1" applyFont="1" applyFill="1" applyBorder="1" applyAlignment="1">
      <alignment horizontal="center"/>
    </xf>
    <xf numFmtId="0" fontId="11" fillId="5" borderId="20" xfId="1" applyFont="1" applyFill="1" applyBorder="1" applyAlignment="1">
      <alignment horizontal="center"/>
    </xf>
    <xf numFmtId="0" fontId="11" fillId="5" borderId="21" xfId="1" applyFont="1" applyFill="1" applyBorder="1" applyAlignment="1">
      <alignment horizontal="center"/>
    </xf>
    <xf numFmtId="0" fontId="11" fillId="5" borderId="22" xfId="1" applyFont="1" applyFill="1" applyBorder="1" applyAlignment="1">
      <alignment horizontal="center"/>
    </xf>
    <xf numFmtId="1" fontId="11" fillId="5" borderId="9" xfId="1" applyNumberFormat="1" applyFont="1" applyFill="1" applyBorder="1" applyAlignment="1">
      <alignment horizontal="center"/>
    </xf>
    <xf numFmtId="1" fontId="11" fillId="5" borderId="23" xfId="1" applyNumberFormat="1" applyFont="1" applyFill="1" applyBorder="1" applyAlignment="1">
      <alignment horizontal="center"/>
    </xf>
    <xf numFmtId="1" fontId="11" fillId="5" borderId="24" xfId="1" applyNumberFormat="1" applyFont="1" applyFill="1" applyBorder="1" applyAlignment="1">
      <alignment horizontal="center"/>
    </xf>
    <xf numFmtId="165" fontId="13" fillId="5" borderId="1" xfId="1" applyNumberFormat="1" applyFont="1" applyFill="1" applyBorder="1" applyAlignment="1">
      <alignment horizontal="left" vertical="center"/>
    </xf>
    <xf numFmtId="0" fontId="11" fillId="5" borderId="0" xfId="1" applyFont="1" applyFill="1" applyAlignment="1">
      <alignment horizontal="center" wrapText="1"/>
    </xf>
  </cellXfs>
  <cellStyles count="16">
    <cellStyle name="Name4" xfId="12" xr:uid="{00000000-0005-0000-0000-000000000000}"/>
    <cellStyle name="Обычный" xfId="0" builtinId="0"/>
    <cellStyle name="Обычный 2" xfId="3" xr:uid="{00000000-0005-0000-0000-000002000000}"/>
    <cellStyle name="Обычный 2 2" xfId="4" xr:uid="{00000000-0005-0000-0000-000003000000}"/>
    <cellStyle name="Обычный 2 2 2" xfId="13" xr:uid="{00000000-0005-0000-0000-000004000000}"/>
    <cellStyle name="Обычный 2 3" xfId="11" xr:uid="{00000000-0005-0000-0000-000005000000}"/>
    <cellStyle name="Обычный 2 4" xfId="14" xr:uid="{00000000-0005-0000-0000-000006000000}"/>
    <cellStyle name="Обычный 3" xfId="15" xr:uid="{00000000-0005-0000-0000-000007000000}"/>
    <cellStyle name="Обычный 4" xfId="9" xr:uid="{00000000-0005-0000-0000-000008000000}"/>
    <cellStyle name="Обычный 5" xfId="7" xr:uid="{00000000-0005-0000-0000-000009000000}"/>
    <cellStyle name="Обычный 6" xfId="10" xr:uid="{00000000-0005-0000-0000-00000A000000}"/>
    <cellStyle name="Обычный_пр.020.104 (июнь 2004 г.)" xfId="1" xr:uid="{00000000-0005-0000-0000-00000B000000}"/>
    <cellStyle name="Пояснение 3" xfId="2" xr:uid="{00000000-0005-0000-0000-00000C000000}"/>
    <cellStyle name="Финансовый 2" xfId="6" xr:uid="{00000000-0005-0000-0000-00000D000000}"/>
    <cellStyle name="Финансовый 3" xfId="5" xr:uid="{00000000-0005-0000-0000-00000E000000}"/>
    <cellStyle name="Финансовый 4" xfId="8" xr:uid="{00000000-0005-0000-0000-00000F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3278-1599-449C-B57F-0C9C40527D4A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2DDC-5208-4EFF-A132-611391560C0D}">
  <dimension ref="A1:V14"/>
  <sheetViews>
    <sheetView tabSelected="1" view="pageBreakPreview" zoomScale="60" zoomScaleNormal="73" workbookViewId="0">
      <selection activeCell="AB12" sqref="AB12"/>
    </sheetView>
  </sheetViews>
  <sheetFormatPr defaultRowHeight="20.25"/>
  <cols>
    <col min="1" max="1" width="5.42578125" style="1" customWidth="1"/>
    <col min="2" max="2" width="6.42578125" style="1" customWidth="1"/>
    <col min="3" max="3" width="8.5703125" style="1" customWidth="1"/>
    <col min="4" max="4" width="10.42578125" style="1" customWidth="1"/>
    <col min="5" max="5" width="10.140625" style="1" customWidth="1"/>
    <col min="6" max="6" width="48.85546875" style="1" customWidth="1"/>
    <col min="7" max="7" width="18.85546875" style="1" customWidth="1"/>
    <col min="8" max="8" width="17.42578125" style="1" customWidth="1"/>
    <col min="9" max="9" width="15.7109375" style="1" customWidth="1"/>
    <col min="10" max="10" width="16" style="1" customWidth="1"/>
    <col min="11" max="11" width="15.42578125" style="1" customWidth="1"/>
    <col min="12" max="12" width="14.28515625" style="1" customWidth="1"/>
    <col min="13" max="13" width="15.42578125" style="1" customWidth="1"/>
    <col min="14" max="14" width="14.5703125" style="1" customWidth="1"/>
    <col min="15" max="17" width="17.42578125" style="1" customWidth="1"/>
    <col min="18" max="18" width="15.140625" style="1" customWidth="1"/>
    <col min="19" max="19" width="14.85546875" style="1" customWidth="1"/>
    <col min="20" max="20" width="20.28515625" style="1" hidden="1" customWidth="1"/>
    <col min="21" max="21" width="13.85546875" style="1" customWidth="1"/>
    <col min="22" max="22" width="15" style="1" bestFit="1" customWidth="1"/>
    <col min="23" max="16384" width="9.140625" style="1"/>
  </cols>
  <sheetData>
    <row r="1" spans="1:22" ht="24.75" customHeight="1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6" t="s">
        <v>74</v>
      </c>
    </row>
    <row r="2" spans="1:22" ht="15" customHeight="1">
      <c r="A2" s="154"/>
      <c r="B2" s="154"/>
      <c r="C2" s="154"/>
      <c r="D2" s="154"/>
      <c r="E2" s="154"/>
      <c r="F2" s="154"/>
      <c r="G2" s="154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6" t="s">
        <v>73</v>
      </c>
    </row>
    <row r="3" spans="1:22" ht="12.75" customHeight="1">
      <c r="A3" s="155"/>
      <c r="B3" s="155"/>
      <c r="C3" s="155"/>
      <c r="D3" s="155"/>
      <c r="E3" s="155"/>
      <c r="F3" s="155"/>
      <c r="G3" s="15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6" t="s">
        <v>72</v>
      </c>
    </row>
    <row r="4" spans="1:22" ht="12.75" customHeight="1">
      <c r="A4" s="137"/>
      <c r="B4" s="137"/>
      <c r="C4" s="137"/>
      <c r="D4" s="137"/>
      <c r="E4" s="137"/>
      <c r="F4" s="137"/>
      <c r="G4" s="137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 t="s">
        <v>71</v>
      </c>
    </row>
    <row r="5" spans="1:22" ht="12.75" customHeight="1">
      <c r="A5" s="137"/>
      <c r="B5" s="137"/>
      <c r="C5" s="137"/>
      <c r="D5" s="137"/>
      <c r="E5" s="137"/>
      <c r="F5" s="137"/>
      <c r="G5" s="137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6"/>
    </row>
    <row r="6" spans="1:22" ht="123" customHeight="1">
      <c r="A6" s="156" t="s">
        <v>84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</row>
    <row r="7" spans="1:22" ht="15.75" customHeight="1">
      <c r="A7" s="158" t="s">
        <v>69</v>
      </c>
      <c r="B7" s="159"/>
      <c r="C7" s="159"/>
      <c r="D7" s="159"/>
      <c r="E7" s="159"/>
      <c r="F7" s="160" t="s">
        <v>81</v>
      </c>
      <c r="G7" s="160" t="s">
        <v>65</v>
      </c>
      <c r="H7" s="148" t="s">
        <v>66</v>
      </c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7" t="s">
        <v>65</v>
      </c>
    </row>
    <row r="8" spans="1:22" ht="25.5" customHeight="1">
      <c r="A8" s="163" t="s">
        <v>64</v>
      </c>
      <c r="B8" s="148" t="s">
        <v>63</v>
      </c>
      <c r="C8" s="148"/>
      <c r="D8" s="148"/>
      <c r="E8" s="148"/>
      <c r="F8" s="160"/>
      <c r="G8" s="160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7"/>
    </row>
    <row r="9" spans="1:22" ht="15.75" customHeight="1">
      <c r="A9" s="164"/>
      <c r="B9" s="149" t="s">
        <v>62</v>
      </c>
      <c r="C9" s="148" t="s">
        <v>61</v>
      </c>
      <c r="D9" s="148"/>
      <c r="E9" s="148"/>
      <c r="F9" s="160"/>
      <c r="G9" s="160"/>
      <c r="H9" s="151" t="s">
        <v>60</v>
      </c>
      <c r="I9" s="146" t="s">
        <v>59</v>
      </c>
      <c r="J9" s="146" t="s">
        <v>58</v>
      </c>
      <c r="K9" s="146" t="s">
        <v>57</v>
      </c>
      <c r="L9" s="146" t="s">
        <v>56</v>
      </c>
      <c r="M9" s="146" t="s">
        <v>55</v>
      </c>
      <c r="N9" s="146" t="s">
        <v>54</v>
      </c>
      <c r="O9" s="146" t="s">
        <v>53</v>
      </c>
      <c r="P9" s="146" t="s">
        <v>52</v>
      </c>
      <c r="Q9" s="146" t="s">
        <v>51</v>
      </c>
      <c r="R9" s="146" t="s">
        <v>50</v>
      </c>
      <c r="S9" s="146" t="s">
        <v>49</v>
      </c>
      <c r="T9" s="147"/>
      <c r="U9" s="3"/>
    </row>
    <row r="10" spans="1:22" ht="30" customHeight="1">
      <c r="A10" s="164"/>
      <c r="B10" s="150"/>
      <c r="C10" s="149" t="s">
        <v>48</v>
      </c>
      <c r="D10" s="148" t="s">
        <v>47</v>
      </c>
      <c r="E10" s="148"/>
      <c r="F10" s="160"/>
      <c r="G10" s="160"/>
      <c r="H10" s="152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7"/>
      <c r="U10" s="3"/>
    </row>
    <row r="11" spans="1:22" ht="39.75" customHeight="1">
      <c r="A11" s="164"/>
      <c r="B11" s="150"/>
      <c r="C11" s="150"/>
      <c r="D11" s="161" t="s">
        <v>85</v>
      </c>
      <c r="E11" s="138" t="s">
        <v>45</v>
      </c>
      <c r="F11" s="160"/>
      <c r="G11" s="160"/>
      <c r="H11" s="153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7"/>
      <c r="U11" s="3"/>
    </row>
    <row r="12" spans="1:22" ht="66.75" customHeight="1">
      <c r="A12" s="164"/>
      <c r="B12" s="150"/>
      <c r="C12" s="150"/>
      <c r="D12" s="162"/>
      <c r="E12" s="139" t="e">
        <f>#REF!+1</f>
        <v>#REF!</v>
      </c>
      <c r="F12" s="131" t="s">
        <v>34</v>
      </c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7"/>
      <c r="U12" s="3"/>
      <c r="V12" s="130"/>
    </row>
    <row r="13" spans="1:22" ht="39" customHeight="1">
      <c r="A13" s="164"/>
      <c r="B13" s="150"/>
      <c r="C13" s="150"/>
      <c r="D13" s="162"/>
      <c r="E13" s="139"/>
      <c r="F13" s="140" t="s">
        <v>5</v>
      </c>
      <c r="G13" s="133">
        <f>H13+I13+J13+K13+L13+M13+N13+O13+P13+Q13+R13+S13</f>
        <v>39191</v>
      </c>
      <c r="H13" s="141"/>
      <c r="I13" s="142">
        <v>4831</v>
      </c>
      <c r="J13" s="142">
        <v>3723</v>
      </c>
      <c r="K13" s="142">
        <v>3083</v>
      </c>
      <c r="L13" s="142">
        <v>3083</v>
      </c>
      <c r="M13" s="142">
        <v>3083</v>
      </c>
      <c r="N13" s="141">
        <v>5274</v>
      </c>
      <c r="O13" s="141">
        <v>3083</v>
      </c>
      <c r="P13" s="141">
        <v>3083</v>
      </c>
      <c r="Q13" s="142">
        <v>3084</v>
      </c>
      <c r="R13" s="142">
        <v>3084</v>
      </c>
      <c r="S13" s="142">
        <v>3780</v>
      </c>
      <c r="T13" s="7">
        <v>75579</v>
      </c>
      <c r="U13" s="3"/>
      <c r="V13" s="129"/>
    </row>
    <row r="14" spans="1:22" ht="105.75" customHeight="1">
      <c r="A14" s="164"/>
      <c r="B14" s="150"/>
      <c r="C14" s="150"/>
      <c r="D14" s="162"/>
      <c r="E14" s="139"/>
      <c r="F14" s="140"/>
      <c r="G14" s="134"/>
      <c r="H14" s="143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5"/>
      <c r="T14" s="7"/>
      <c r="U14" s="3"/>
      <c r="V14" s="129"/>
    </row>
  </sheetData>
  <mergeCells count="27">
    <mergeCell ref="A2:G2"/>
    <mergeCell ref="A3:G3"/>
    <mergeCell ref="A6:S6"/>
    <mergeCell ref="A7:E7"/>
    <mergeCell ref="F7:F11"/>
    <mergeCell ref="G7:G11"/>
    <mergeCell ref="H7:S8"/>
    <mergeCell ref="M9:M11"/>
    <mergeCell ref="N9:N11"/>
    <mergeCell ref="O9:O11"/>
    <mergeCell ref="S9:S11"/>
    <mergeCell ref="C10:C14"/>
    <mergeCell ref="D10:E10"/>
    <mergeCell ref="D11:D14"/>
    <mergeCell ref="R9:R11"/>
    <mergeCell ref="A8:A14"/>
    <mergeCell ref="P9:P11"/>
    <mergeCell ref="Q9:Q11"/>
    <mergeCell ref="T7:T11"/>
    <mergeCell ref="B8:E8"/>
    <mergeCell ref="B9:B14"/>
    <mergeCell ref="C9:E9"/>
    <mergeCell ref="H9:H11"/>
    <mergeCell ref="I9:I11"/>
    <mergeCell ref="J9:J11"/>
    <mergeCell ref="K9:K11"/>
    <mergeCell ref="L9:L11"/>
  </mergeCells>
  <pageMargins left="0.70866141732283472" right="0.70866141732283472" top="0.74803149606299213" bottom="0.74803149606299213" header="0.31496062992125984" footer="0.31496062992125984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7292-12D7-4393-8A33-8F2D8D438115}">
  <sheetPr>
    <pageSetUpPr fitToPage="1"/>
  </sheetPr>
  <dimension ref="A1:BJ1048576"/>
  <sheetViews>
    <sheetView topLeftCell="A125" zoomScale="68" zoomScaleNormal="68" workbookViewId="0">
      <selection sqref="A1:U174"/>
    </sheetView>
  </sheetViews>
  <sheetFormatPr defaultRowHeight="20.25"/>
  <cols>
    <col min="1" max="1" width="5.42578125" style="1" customWidth="1"/>
    <col min="2" max="2" width="6.42578125" style="1" customWidth="1"/>
    <col min="3" max="4" width="5.42578125" style="1" customWidth="1"/>
    <col min="5" max="5" width="10.140625" style="1" customWidth="1"/>
    <col min="6" max="6" width="48.85546875" style="1" customWidth="1"/>
    <col min="7" max="8" width="18.28515625" style="1" hidden="1" customWidth="1"/>
    <col min="9" max="9" width="18.85546875" style="1" customWidth="1"/>
    <col min="10" max="10" width="17.42578125" style="1" hidden="1" customWidth="1"/>
    <col min="11" max="11" width="15.7109375" style="1" hidden="1" customWidth="1"/>
    <col min="12" max="12" width="16" style="1" hidden="1" customWidth="1"/>
    <col min="13" max="13" width="15.42578125" style="1" hidden="1" customWidth="1"/>
    <col min="14" max="14" width="14.28515625" style="1" hidden="1" customWidth="1"/>
    <col min="15" max="15" width="15.42578125" style="1" hidden="1" customWidth="1"/>
    <col min="16" max="16" width="14.5703125" style="1" hidden="1" customWidth="1"/>
    <col min="17" max="19" width="17.42578125" style="1" hidden="1" customWidth="1"/>
    <col min="20" max="20" width="15.140625" style="1" hidden="1" customWidth="1"/>
    <col min="21" max="21" width="14.85546875" style="1" hidden="1" customWidth="1"/>
    <col min="22" max="23" width="9.140625" style="1"/>
    <col min="24" max="24" width="16" style="1" customWidth="1"/>
    <col min="25" max="16384" width="9.140625" style="1"/>
  </cols>
  <sheetData>
    <row r="1" spans="1:30" ht="24.75" customHeight="1">
      <c r="U1" s="2" t="s">
        <v>74</v>
      </c>
    </row>
    <row r="2" spans="1:30" ht="15" customHeight="1">
      <c r="A2" s="174"/>
      <c r="B2" s="174"/>
      <c r="C2" s="174"/>
      <c r="D2" s="174"/>
      <c r="E2" s="174"/>
      <c r="F2" s="174"/>
      <c r="G2" s="174"/>
      <c r="H2" s="174"/>
      <c r="I2" s="174"/>
      <c r="U2" s="2" t="s">
        <v>73</v>
      </c>
    </row>
    <row r="3" spans="1:30" ht="12.75" customHeight="1">
      <c r="A3" s="175"/>
      <c r="B3" s="175"/>
      <c r="C3" s="175"/>
      <c r="D3" s="175"/>
      <c r="E3" s="175"/>
      <c r="F3" s="175"/>
      <c r="G3" s="175"/>
      <c r="H3" s="175"/>
      <c r="I3" s="175"/>
      <c r="U3" s="2" t="s">
        <v>72</v>
      </c>
    </row>
    <row r="4" spans="1:30" ht="12.75" customHeight="1">
      <c r="A4" s="118"/>
      <c r="B4" s="118"/>
      <c r="C4" s="118"/>
      <c r="D4" s="118"/>
      <c r="E4" s="118"/>
      <c r="F4" s="118"/>
      <c r="G4" s="118"/>
      <c r="H4" s="118"/>
      <c r="I4" s="118"/>
      <c r="U4" s="1" t="s">
        <v>71</v>
      </c>
    </row>
    <row r="5" spans="1:30" ht="12.75" customHeight="1">
      <c r="A5" s="118"/>
      <c r="B5" s="118"/>
      <c r="C5" s="118"/>
      <c r="D5" s="118"/>
      <c r="E5" s="118"/>
      <c r="F5" s="118"/>
      <c r="G5" s="118"/>
      <c r="H5" s="118"/>
      <c r="I5" s="118"/>
      <c r="U5" s="2"/>
    </row>
    <row r="6" spans="1:30" ht="57" customHeight="1">
      <c r="A6" s="176" t="s">
        <v>70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30" ht="15.75" customHeight="1">
      <c r="A7" s="178" t="s">
        <v>69</v>
      </c>
      <c r="B7" s="179"/>
      <c r="C7" s="179"/>
      <c r="D7" s="179"/>
      <c r="E7" s="179"/>
      <c r="F7" s="147" t="s">
        <v>81</v>
      </c>
      <c r="G7" s="171" t="s">
        <v>67</v>
      </c>
      <c r="H7" s="171" t="s">
        <v>75</v>
      </c>
      <c r="I7" s="147" t="s">
        <v>80</v>
      </c>
      <c r="J7" s="168" t="s">
        <v>66</v>
      </c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85"/>
      <c r="W7" s="186"/>
      <c r="X7" s="187"/>
      <c r="Y7" s="185"/>
      <c r="Z7" s="186"/>
      <c r="AA7" s="186"/>
      <c r="AB7" s="186"/>
      <c r="AC7" s="186"/>
      <c r="AD7" s="187"/>
    </row>
    <row r="8" spans="1:30" ht="25.5" customHeight="1">
      <c r="A8" s="166" t="s">
        <v>64</v>
      </c>
      <c r="B8" s="168" t="s">
        <v>63</v>
      </c>
      <c r="C8" s="168"/>
      <c r="D8" s="168"/>
      <c r="E8" s="168"/>
      <c r="F8" s="147"/>
      <c r="G8" s="172"/>
      <c r="H8" s="172"/>
      <c r="I8" s="147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88"/>
      <c r="W8" s="189"/>
      <c r="X8" s="190"/>
      <c r="Y8" s="188"/>
      <c r="Z8" s="189"/>
      <c r="AA8" s="189"/>
      <c r="AB8" s="189"/>
      <c r="AC8" s="189"/>
      <c r="AD8" s="190"/>
    </row>
    <row r="9" spans="1:30" ht="15.75" customHeight="1">
      <c r="A9" s="167"/>
      <c r="B9" s="169" t="s">
        <v>62</v>
      </c>
      <c r="C9" s="168" t="s">
        <v>61</v>
      </c>
      <c r="D9" s="168"/>
      <c r="E9" s="168"/>
      <c r="F9" s="147"/>
      <c r="G9" s="172"/>
      <c r="H9" s="172"/>
      <c r="I9" s="147"/>
      <c r="J9" s="171" t="s">
        <v>60</v>
      </c>
      <c r="K9" s="165" t="s">
        <v>59</v>
      </c>
      <c r="L9" s="165" t="s">
        <v>58</v>
      </c>
      <c r="M9" s="165" t="s">
        <v>57</v>
      </c>
      <c r="N9" s="165" t="s">
        <v>56</v>
      </c>
      <c r="O9" s="165" t="s">
        <v>55</v>
      </c>
      <c r="P9" s="165" t="s">
        <v>54</v>
      </c>
      <c r="Q9" s="165" t="s">
        <v>53</v>
      </c>
      <c r="R9" s="165" t="s">
        <v>52</v>
      </c>
      <c r="S9" s="165" t="s">
        <v>51</v>
      </c>
      <c r="T9" s="165" t="s">
        <v>50</v>
      </c>
      <c r="U9" s="165" t="s">
        <v>49</v>
      </c>
      <c r="V9" s="188"/>
      <c r="W9" s="189"/>
      <c r="X9" s="190"/>
      <c r="Y9" s="188"/>
      <c r="Z9" s="189"/>
      <c r="AA9" s="189"/>
      <c r="AB9" s="189"/>
      <c r="AC9" s="189"/>
      <c r="AD9" s="190"/>
    </row>
    <row r="10" spans="1:30" ht="30" customHeight="1">
      <c r="A10" s="167"/>
      <c r="B10" s="170"/>
      <c r="C10" s="169" t="s">
        <v>48</v>
      </c>
      <c r="D10" s="168" t="s">
        <v>47</v>
      </c>
      <c r="E10" s="168"/>
      <c r="F10" s="147"/>
      <c r="G10" s="172"/>
      <c r="H10" s="172"/>
      <c r="I10" s="147"/>
      <c r="J10" s="172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88"/>
      <c r="W10" s="189"/>
      <c r="X10" s="190"/>
      <c r="Y10" s="188"/>
      <c r="Z10" s="189"/>
      <c r="AA10" s="189"/>
      <c r="AB10" s="189"/>
      <c r="AC10" s="189"/>
      <c r="AD10" s="190"/>
    </row>
    <row r="11" spans="1:30" ht="39.75" customHeight="1">
      <c r="A11" s="167"/>
      <c r="B11" s="170"/>
      <c r="C11" s="170"/>
      <c r="D11" s="180" t="s">
        <v>46</v>
      </c>
      <c r="E11" s="4" t="s">
        <v>45</v>
      </c>
      <c r="F11" s="147"/>
      <c r="G11" s="173"/>
      <c r="H11" s="173"/>
      <c r="I11" s="147"/>
      <c r="J11" s="173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91"/>
      <c r="W11" s="192"/>
      <c r="X11" s="193"/>
      <c r="Y11" s="191"/>
      <c r="Z11" s="192"/>
      <c r="AA11" s="192"/>
      <c r="AB11" s="192"/>
      <c r="AC11" s="192"/>
      <c r="AD11" s="193"/>
    </row>
    <row r="12" spans="1:30" ht="39" customHeight="1">
      <c r="A12" s="167"/>
      <c r="B12" s="170"/>
      <c r="C12" s="170"/>
      <c r="D12" s="181"/>
      <c r="E12" s="5">
        <v>1</v>
      </c>
      <c r="F12" s="6" t="s">
        <v>44</v>
      </c>
      <c r="G12" s="7">
        <f>G13+G14+G15+G16</f>
        <v>58833</v>
      </c>
      <c r="H12" s="7">
        <v>137818</v>
      </c>
      <c r="I12" s="7">
        <f>I13</f>
        <v>34559</v>
      </c>
      <c r="J12" s="8">
        <f t="shared" ref="J12:U12" si="0">J13+J14+J15+J16</f>
        <v>0</v>
      </c>
      <c r="K12" s="7">
        <f t="shared" si="0"/>
        <v>9536</v>
      </c>
      <c r="L12" s="7">
        <f t="shared" si="0"/>
        <v>4768</v>
      </c>
      <c r="M12" s="7">
        <f t="shared" si="0"/>
        <v>4788</v>
      </c>
      <c r="N12" s="7">
        <f t="shared" si="0"/>
        <v>5838</v>
      </c>
      <c r="O12" s="7">
        <f t="shared" si="0"/>
        <v>4768</v>
      </c>
      <c r="P12" s="7">
        <f t="shared" si="0"/>
        <v>17368</v>
      </c>
      <c r="Q12" s="7">
        <f t="shared" si="0"/>
        <v>1911</v>
      </c>
      <c r="R12" s="7">
        <f t="shared" si="0"/>
        <v>1686</v>
      </c>
      <c r="S12" s="7">
        <f t="shared" si="0"/>
        <v>1666</v>
      </c>
      <c r="T12" s="7">
        <f t="shared" si="0"/>
        <v>1666</v>
      </c>
      <c r="U12" s="7">
        <f t="shared" si="0"/>
        <v>1673</v>
      </c>
      <c r="V12" s="182" t="s">
        <v>5</v>
      </c>
      <c r="W12" s="183"/>
      <c r="X12" s="184"/>
      <c r="Y12" s="182">
        <v>34559</v>
      </c>
      <c r="Z12" s="183"/>
      <c r="AA12" s="183"/>
      <c r="AB12" s="183"/>
      <c r="AC12" s="183"/>
      <c r="AD12" s="184"/>
    </row>
    <row r="13" spans="1:30" ht="39" customHeight="1">
      <c r="A13" s="167"/>
      <c r="B13" s="170"/>
      <c r="C13" s="170"/>
      <c r="D13" s="181"/>
      <c r="E13" s="5"/>
      <c r="F13" s="6" t="s">
        <v>5</v>
      </c>
      <c r="G13" s="7">
        <v>34559</v>
      </c>
      <c r="H13" s="7"/>
      <c r="I13" s="7">
        <f>J13+K13+L13+M13+N13+O13+P13+Q13+R13+S13+T13+U13</f>
        <v>34559</v>
      </c>
      <c r="J13" s="9">
        <v>0</v>
      </c>
      <c r="K13" s="10">
        <v>6204</v>
      </c>
      <c r="L13" s="10">
        <v>3102</v>
      </c>
      <c r="M13" s="10">
        <v>3102</v>
      </c>
      <c r="N13" s="10">
        <v>3102</v>
      </c>
      <c r="O13" s="10">
        <v>3102</v>
      </c>
      <c r="P13" s="10">
        <v>15702</v>
      </c>
      <c r="Q13" s="10">
        <f>14802-14557</f>
        <v>245</v>
      </c>
      <c r="R13" s="10"/>
      <c r="S13" s="10"/>
      <c r="T13" s="10"/>
      <c r="U13" s="10"/>
      <c r="V13" s="182"/>
      <c r="W13" s="183"/>
      <c r="X13" s="184"/>
      <c r="Y13" s="182"/>
      <c r="Z13" s="183"/>
      <c r="AA13" s="183"/>
      <c r="AB13" s="183"/>
      <c r="AC13" s="183"/>
      <c r="AD13" s="184"/>
    </row>
    <row r="14" spans="1:30" ht="39" hidden="1" customHeight="1">
      <c r="A14" s="167"/>
      <c r="B14" s="170"/>
      <c r="C14" s="170"/>
      <c r="D14" s="181"/>
      <c r="E14" s="5"/>
      <c r="F14" s="6" t="s">
        <v>27</v>
      </c>
      <c r="G14" s="7">
        <v>10359</v>
      </c>
      <c r="H14" s="7"/>
      <c r="I14" s="7">
        <f>J14+K14+L14+M14+N14+O14+P14+Q14+R14+S14+T14+U14</f>
        <v>8719</v>
      </c>
      <c r="J14" s="11">
        <v>0</v>
      </c>
      <c r="K14" s="12">
        <v>1268</v>
      </c>
      <c r="L14" s="12">
        <v>634</v>
      </c>
      <c r="M14" s="12">
        <v>654</v>
      </c>
      <c r="N14" s="12">
        <v>1704</v>
      </c>
      <c r="O14" s="12">
        <v>634</v>
      </c>
      <c r="P14" s="12">
        <v>634</v>
      </c>
      <c r="Q14" s="12">
        <v>634</v>
      </c>
      <c r="R14" s="12">
        <v>654</v>
      </c>
      <c r="S14" s="12">
        <v>634</v>
      </c>
      <c r="T14" s="12">
        <v>634</v>
      </c>
      <c r="U14" s="12">
        <v>635</v>
      </c>
      <c r="V14" s="3"/>
      <c r="W14" s="3"/>
      <c r="X14" s="3"/>
      <c r="Y14" s="3"/>
      <c r="Z14" s="3"/>
      <c r="AA14" s="3"/>
      <c r="AB14" s="3"/>
      <c r="AC14" s="3"/>
      <c r="AD14" s="3"/>
    </row>
    <row r="15" spans="1:30" ht="39" hidden="1" customHeight="1">
      <c r="A15" s="167"/>
      <c r="B15" s="170"/>
      <c r="C15" s="170"/>
      <c r="D15" s="181"/>
      <c r="E15" s="5"/>
      <c r="F15" s="6" t="s">
        <v>3</v>
      </c>
      <c r="G15" s="7"/>
      <c r="H15" s="7"/>
      <c r="I15" s="7">
        <f>J15+K15+L15+M15+N15+O15+P15+Q15+R15+S15+T15+U15</f>
        <v>0</v>
      </c>
      <c r="J15" s="9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3"/>
      <c r="W15" s="3"/>
      <c r="X15" s="3"/>
      <c r="Y15" s="3"/>
      <c r="Z15" s="3"/>
      <c r="AA15" s="3"/>
      <c r="AB15" s="3"/>
      <c r="AC15" s="3"/>
      <c r="AD15" s="3"/>
    </row>
    <row r="16" spans="1:30" ht="39" hidden="1" customHeight="1">
      <c r="A16" s="167"/>
      <c r="B16" s="170"/>
      <c r="C16" s="170"/>
      <c r="D16" s="181"/>
      <c r="E16" s="5"/>
      <c r="F16" s="6">
        <v>324</v>
      </c>
      <c r="G16" s="7">
        <v>13915</v>
      </c>
      <c r="H16" s="7"/>
      <c r="I16" s="7">
        <f>J16+K16+L16+M16+N16+O16+P16+Q16+R16+S16+T16+U16</f>
        <v>12390</v>
      </c>
      <c r="J16" s="13">
        <f>1032-1032</f>
        <v>0</v>
      </c>
      <c r="K16" s="14">
        <f>1032+1032</f>
        <v>2064</v>
      </c>
      <c r="L16" s="14">
        <v>1032</v>
      </c>
      <c r="M16" s="14">
        <v>1032</v>
      </c>
      <c r="N16" s="14">
        <v>1032</v>
      </c>
      <c r="O16" s="14">
        <v>1032</v>
      </c>
      <c r="P16" s="14">
        <v>1032</v>
      </c>
      <c r="Q16" s="14">
        <v>1032</v>
      </c>
      <c r="R16" s="14">
        <v>1032</v>
      </c>
      <c r="S16" s="14">
        <v>1032</v>
      </c>
      <c r="T16" s="14">
        <v>1032</v>
      </c>
      <c r="U16" s="14">
        <v>1038</v>
      </c>
      <c r="V16" s="3"/>
      <c r="W16" s="3"/>
      <c r="X16" s="3"/>
      <c r="Y16" s="3"/>
      <c r="Z16" s="3"/>
      <c r="AA16" s="3"/>
      <c r="AB16" s="3"/>
      <c r="AC16" s="3"/>
      <c r="AD16" s="3"/>
    </row>
    <row r="17" spans="1:30" ht="39" customHeight="1">
      <c r="A17" s="167"/>
      <c r="B17" s="170"/>
      <c r="C17" s="170"/>
      <c r="D17" s="181"/>
      <c r="E17" s="5">
        <f>E12+1</f>
        <v>2</v>
      </c>
      <c r="F17" s="6" t="s">
        <v>43</v>
      </c>
      <c r="G17" s="7">
        <f>G18+G19+G20+G21</f>
        <v>91825</v>
      </c>
      <c r="H17" s="7">
        <v>127682</v>
      </c>
      <c r="I17" s="7">
        <f>I18</f>
        <v>56349</v>
      </c>
      <c r="J17" s="8">
        <f t="shared" ref="J17:U17" si="1">J18+J19+J20+J21</f>
        <v>0</v>
      </c>
      <c r="K17" s="7">
        <f t="shared" si="1"/>
        <v>21880</v>
      </c>
      <c r="L17" s="7">
        <f t="shared" si="1"/>
        <v>10699</v>
      </c>
      <c r="M17" s="7">
        <f t="shared" si="1"/>
        <v>11654</v>
      </c>
      <c r="N17" s="7">
        <f t="shared" si="1"/>
        <v>10055</v>
      </c>
      <c r="O17" s="7">
        <f t="shared" si="1"/>
        <v>12388</v>
      </c>
      <c r="P17" s="7">
        <f t="shared" si="1"/>
        <v>17359</v>
      </c>
      <c r="Q17" s="7">
        <f t="shared" si="1"/>
        <v>5555</v>
      </c>
      <c r="R17" s="7">
        <f t="shared" si="1"/>
        <v>641</v>
      </c>
      <c r="S17" s="7">
        <f t="shared" si="1"/>
        <v>418</v>
      </c>
      <c r="T17" s="7">
        <f t="shared" si="1"/>
        <v>588</v>
      </c>
      <c r="U17" s="7">
        <f t="shared" si="1"/>
        <v>588</v>
      </c>
      <c r="V17" s="182" t="s">
        <v>5</v>
      </c>
      <c r="W17" s="183"/>
      <c r="X17" s="184"/>
      <c r="Y17" s="182">
        <v>56349</v>
      </c>
      <c r="Z17" s="183"/>
      <c r="AA17" s="183"/>
      <c r="AB17" s="183"/>
      <c r="AC17" s="183"/>
      <c r="AD17" s="184"/>
    </row>
    <row r="18" spans="1:30" ht="39" customHeight="1">
      <c r="A18" s="167"/>
      <c r="B18" s="170"/>
      <c r="C18" s="170"/>
      <c r="D18" s="181"/>
      <c r="E18" s="5"/>
      <c r="F18" s="6" t="s">
        <v>5</v>
      </c>
      <c r="G18" s="7">
        <v>56349</v>
      </c>
      <c r="H18" s="7"/>
      <c r="I18" s="7">
        <f>J18+K18+L18+M18+N18+O18+P18+Q18+R18+S18+T18+U18</f>
        <v>56349</v>
      </c>
      <c r="J18" s="9">
        <v>0</v>
      </c>
      <c r="K18" s="10">
        <v>12685</v>
      </c>
      <c r="L18" s="10">
        <v>5880</v>
      </c>
      <c r="M18" s="10">
        <v>5835</v>
      </c>
      <c r="N18" s="10">
        <v>5786</v>
      </c>
      <c r="O18" s="10">
        <v>5590</v>
      </c>
      <c r="P18" s="10">
        <v>12783</v>
      </c>
      <c r="Q18" s="10">
        <v>5555</v>
      </c>
      <c r="R18" s="10">
        <f>5711-5070</f>
        <v>641</v>
      </c>
      <c r="S18" s="10">
        <v>418</v>
      </c>
      <c r="T18" s="10">
        <v>588</v>
      </c>
      <c r="U18" s="10">
        <v>588</v>
      </c>
      <c r="V18" s="182"/>
      <c r="W18" s="183"/>
      <c r="X18" s="184"/>
      <c r="Y18" s="182"/>
      <c r="Z18" s="183"/>
      <c r="AA18" s="183"/>
      <c r="AB18" s="183"/>
      <c r="AC18" s="183"/>
      <c r="AD18" s="184"/>
    </row>
    <row r="19" spans="1:30" ht="39" hidden="1" customHeight="1">
      <c r="A19" s="167"/>
      <c r="B19" s="170"/>
      <c r="C19" s="170"/>
      <c r="D19" s="181"/>
      <c r="E19" s="5"/>
      <c r="F19" s="6" t="s">
        <v>27</v>
      </c>
      <c r="G19" s="7">
        <v>15417</v>
      </c>
      <c r="H19" s="7"/>
      <c r="I19" s="7">
        <f>J19+K19+L19+M19+N19+O19+P19+Q19+R19+S19+T19+U19</f>
        <v>15417</v>
      </c>
      <c r="J19" s="15">
        <v>0</v>
      </c>
      <c r="K19" s="10">
        <v>3557</v>
      </c>
      <c r="L19" s="10">
        <v>2000</v>
      </c>
      <c r="M19" s="10">
        <v>3000</v>
      </c>
      <c r="N19" s="10">
        <v>1449</v>
      </c>
      <c r="O19" s="10">
        <f>2000+1978</f>
        <v>3978</v>
      </c>
      <c r="P19" s="10">
        <f>1832-399</f>
        <v>1433</v>
      </c>
      <c r="Q19" s="10"/>
      <c r="R19" s="10"/>
      <c r="S19" s="10">
        <v>0</v>
      </c>
      <c r="T19" s="10">
        <v>0</v>
      </c>
      <c r="U19" s="10">
        <v>0</v>
      </c>
      <c r="V19" s="3"/>
      <c r="W19" s="3"/>
      <c r="X19" s="3"/>
      <c r="Y19" s="3"/>
      <c r="Z19" s="3"/>
      <c r="AA19" s="3"/>
      <c r="AB19" s="3"/>
      <c r="AC19" s="3"/>
      <c r="AD19" s="3"/>
    </row>
    <row r="20" spans="1:30" ht="39" hidden="1" customHeight="1">
      <c r="A20" s="167"/>
      <c r="B20" s="170"/>
      <c r="C20" s="170"/>
      <c r="D20" s="181"/>
      <c r="E20" s="5"/>
      <c r="F20" s="6" t="s">
        <v>3</v>
      </c>
      <c r="G20" s="7"/>
      <c r="H20" s="7"/>
      <c r="I20" s="7">
        <f>J20+K20+L20+M20+N20+O20+P20+Q20+R20+S20+T20+U20</f>
        <v>0</v>
      </c>
      <c r="J20" s="9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3"/>
      <c r="W20" s="3"/>
      <c r="X20" s="3"/>
      <c r="Y20" s="3"/>
      <c r="Z20" s="3"/>
      <c r="AA20" s="3"/>
      <c r="AB20" s="3"/>
      <c r="AC20" s="3"/>
      <c r="AD20" s="3"/>
    </row>
    <row r="21" spans="1:30" ht="39" hidden="1" customHeight="1">
      <c r="A21" s="167"/>
      <c r="B21" s="170"/>
      <c r="C21" s="170"/>
      <c r="D21" s="181"/>
      <c r="E21" s="5"/>
      <c r="F21" s="6">
        <v>324</v>
      </c>
      <c r="G21" s="7">
        <v>20059</v>
      </c>
      <c r="H21" s="7"/>
      <c r="I21" s="7">
        <f>J21+K21+L21+M21+N21+O21+P21+Q21+R21+S21+T21+U21</f>
        <v>20059</v>
      </c>
      <c r="J21" s="16">
        <f>2819-2819</f>
        <v>0</v>
      </c>
      <c r="K21" s="17">
        <f>2819+2819</f>
        <v>5638</v>
      </c>
      <c r="L21" s="17">
        <v>2819</v>
      </c>
      <c r="M21" s="17">
        <v>2819</v>
      </c>
      <c r="N21" s="17">
        <v>2820</v>
      </c>
      <c r="O21" s="17">
        <v>2820</v>
      </c>
      <c r="P21" s="17">
        <f>4000-857</f>
        <v>3143</v>
      </c>
      <c r="Q21" s="17">
        <v>0</v>
      </c>
      <c r="R21" s="17"/>
      <c r="S21" s="17"/>
      <c r="T21" s="17"/>
      <c r="U21" s="17"/>
      <c r="V21" s="3"/>
      <c r="W21" s="3"/>
      <c r="X21" s="3"/>
      <c r="Y21" s="3"/>
      <c r="Z21" s="3"/>
      <c r="AA21" s="3"/>
      <c r="AB21" s="3"/>
      <c r="AC21" s="3"/>
      <c r="AD21" s="3"/>
    </row>
    <row r="22" spans="1:30" ht="39" customHeight="1">
      <c r="A22" s="167"/>
      <c r="B22" s="170"/>
      <c r="C22" s="170"/>
      <c r="D22" s="181"/>
      <c r="E22" s="5">
        <f>E17+1</f>
        <v>3</v>
      </c>
      <c r="F22" s="6" t="s">
        <v>42</v>
      </c>
      <c r="G22" s="7">
        <f>G23+G24+G25+G26</f>
        <v>213286</v>
      </c>
      <c r="H22" s="7">
        <v>289880</v>
      </c>
      <c r="I22" s="7">
        <f>I23+I25</f>
        <v>155131</v>
      </c>
      <c r="J22" s="8">
        <f t="shared" ref="J22:U22" si="2">J23+J24+J25+J26</f>
        <v>0</v>
      </c>
      <c r="K22" s="7">
        <f t="shared" si="2"/>
        <v>45085</v>
      </c>
      <c r="L22" s="7">
        <f t="shared" si="2"/>
        <v>21540</v>
      </c>
      <c r="M22" s="7">
        <f t="shared" si="2"/>
        <v>23279</v>
      </c>
      <c r="N22" s="7">
        <f t="shared" si="2"/>
        <v>23491</v>
      </c>
      <c r="O22" s="7">
        <f t="shared" si="2"/>
        <v>22166</v>
      </c>
      <c r="P22" s="7">
        <f t="shared" si="2"/>
        <v>34302</v>
      </c>
      <c r="Q22" s="7">
        <f t="shared" si="2"/>
        <v>6136</v>
      </c>
      <c r="R22" s="7">
        <f t="shared" si="2"/>
        <v>8754</v>
      </c>
      <c r="S22" s="7">
        <f t="shared" si="2"/>
        <v>17117</v>
      </c>
      <c r="T22" s="7">
        <f t="shared" si="2"/>
        <v>10343</v>
      </c>
      <c r="U22" s="7">
        <f t="shared" si="2"/>
        <v>10551</v>
      </c>
      <c r="V22" s="182" t="s">
        <v>5</v>
      </c>
      <c r="W22" s="183"/>
      <c r="X22" s="184"/>
      <c r="Y22" s="182">
        <v>135743</v>
      </c>
      <c r="Z22" s="183"/>
      <c r="AA22" s="183"/>
      <c r="AB22" s="183"/>
      <c r="AC22" s="183"/>
      <c r="AD22" s="184"/>
    </row>
    <row r="23" spans="1:30" ht="39" customHeight="1">
      <c r="A23" s="167"/>
      <c r="B23" s="170"/>
      <c r="C23" s="170"/>
      <c r="D23" s="181"/>
      <c r="E23" s="5"/>
      <c r="F23" s="6" t="s">
        <v>5</v>
      </c>
      <c r="G23" s="7">
        <v>135743</v>
      </c>
      <c r="H23" s="7"/>
      <c r="I23" s="7">
        <f>J23+K23+L23+M23+N23+O23+P23+Q23+R23+S23+T23+U23</f>
        <v>135743</v>
      </c>
      <c r="J23" s="9">
        <v>0</v>
      </c>
      <c r="K23" s="10">
        <v>28689</v>
      </c>
      <c r="L23" s="10">
        <v>14242</v>
      </c>
      <c r="M23" s="10">
        <v>14242</v>
      </c>
      <c r="N23" s="10">
        <v>14242</v>
      </c>
      <c r="O23" s="10">
        <v>14242</v>
      </c>
      <c r="P23" s="10">
        <v>28666</v>
      </c>
      <c r="Q23" s="10">
        <v>500</v>
      </c>
      <c r="R23" s="10">
        <f>12800-10468</f>
        <v>2332</v>
      </c>
      <c r="S23" s="10">
        <v>12631</v>
      </c>
      <c r="T23" s="10">
        <v>5752</v>
      </c>
      <c r="U23" s="10">
        <v>205</v>
      </c>
      <c r="V23" s="182" t="s">
        <v>16</v>
      </c>
      <c r="W23" s="183"/>
      <c r="X23" s="184"/>
      <c r="Y23" s="182">
        <v>19388</v>
      </c>
      <c r="Z23" s="183"/>
      <c r="AA23" s="183"/>
      <c r="AB23" s="183"/>
      <c r="AC23" s="183"/>
      <c r="AD23" s="184"/>
    </row>
    <row r="24" spans="1:30" ht="39" hidden="1" customHeight="1">
      <c r="A24" s="167"/>
      <c r="B24" s="170"/>
      <c r="C24" s="170"/>
      <c r="D24" s="181"/>
      <c r="E24" s="5"/>
      <c r="F24" s="6" t="s">
        <v>27</v>
      </c>
      <c r="G24" s="7">
        <v>38970</v>
      </c>
      <c r="H24" s="7"/>
      <c r="I24" s="7">
        <f>J24+K24+L24+M24+N24+O24+P24+Q24+R24+S24+T24+U24</f>
        <v>29060</v>
      </c>
      <c r="J24" s="11">
        <v>0</v>
      </c>
      <c r="K24" s="12">
        <v>7180</v>
      </c>
      <c r="L24" s="12">
        <v>2690</v>
      </c>
      <c r="M24" s="12">
        <v>2690</v>
      </c>
      <c r="N24" s="12">
        <v>2690</v>
      </c>
      <c r="O24" s="12">
        <v>3316</v>
      </c>
      <c r="P24" s="12">
        <v>0</v>
      </c>
      <c r="Q24" s="12">
        <v>0</v>
      </c>
      <c r="R24" s="12">
        <v>2690</v>
      </c>
      <c r="S24" s="12">
        <v>2690</v>
      </c>
      <c r="T24" s="12">
        <v>2663</v>
      </c>
      <c r="U24" s="12">
        <v>2451</v>
      </c>
      <c r="V24" s="3"/>
      <c r="W24" s="3"/>
      <c r="X24" s="3"/>
      <c r="Y24" s="3"/>
      <c r="Z24" s="3"/>
      <c r="AA24" s="3"/>
      <c r="AB24" s="3"/>
      <c r="AC24" s="3"/>
      <c r="AD24" s="3"/>
    </row>
    <row r="25" spans="1:30" ht="39" customHeight="1">
      <c r="A25" s="167"/>
      <c r="B25" s="170"/>
      <c r="C25" s="170"/>
      <c r="D25" s="181"/>
      <c r="E25" s="5"/>
      <c r="F25" s="6" t="s">
        <v>82</v>
      </c>
      <c r="G25" s="7"/>
      <c r="H25" s="7"/>
      <c r="I25" s="7">
        <f>J25+K25+L25+M25+N25+O25+P25+Q25+R25+S25+T25+U25</f>
        <v>19388</v>
      </c>
      <c r="J25" s="18">
        <f>31490-31490</f>
        <v>0</v>
      </c>
      <c r="K25" s="19">
        <f>22881-22881</f>
        <v>0</v>
      </c>
      <c r="L25" s="19">
        <f>8396-8396</f>
        <v>0</v>
      </c>
      <c r="M25" s="19">
        <f>1952-213</f>
        <v>1739</v>
      </c>
      <c r="N25" s="19">
        <v>1951</v>
      </c>
      <c r="O25" s="19">
        <f>2411-2411</f>
        <v>0</v>
      </c>
      <c r="P25" s="19">
        <v>1928</v>
      </c>
      <c r="Q25" s="19">
        <v>1928</v>
      </c>
      <c r="R25" s="19">
        <f>1928+1017</f>
        <v>2945</v>
      </c>
      <c r="S25" s="19">
        <v>1796</v>
      </c>
      <c r="T25" s="19">
        <v>1928</v>
      </c>
      <c r="U25" s="19">
        <f>7207-2034</f>
        <v>5173</v>
      </c>
      <c r="V25" s="182"/>
      <c r="W25" s="183"/>
      <c r="X25" s="184"/>
      <c r="Y25" s="182"/>
      <c r="Z25" s="183"/>
      <c r="AA25" s="183"/>
      <c r="AB25" s="183"/>
      <c r="AC25" s="183"/>
      <c r="AD25" s="184"/>
    </row>
    <row r="26" spans="1:30" ht="39" hidden="1" customHeight="1">
      <c r="A26" s="167"/>
      <c r="B26" s="170"/>
      <c r="C26" s="170"/>
      <c r="D26" s="181"/>
      <c r="E26" s="5"/>
      <c r="F26" s="6">
        <v>324</v>
      </c>
      <c r="G26" s="7">
        <v>38573</v>
      </c>
      <c r="H26" s="7"/>
      <c r="I26" s="7">
        <f>J26+K26+L26+M26+N26+O26+P26+Q26+R26+S26+T26+U26</f>
        <v>38573</v>
      </c>
      <c r="J26" s="20">
        <f>4608-4608</f>
        <v>0</v>
      </c>
      <c r="K26" s="21">
        <f>4608+4608</f>
        <v>9216</v>
      </c>
      <c r="L26" s="21">
        <v>4608</v>
      </c>
      <c r="M26" s="21">
        <v>4608</v>
      </c>
      <c r="N26" s="21">
        <v>4608</v>
      </c>
      <c r="O26" s="21">
        <v>4608</v>
      </c>
      <c r="P26" s="21">
        <v>3708</v>
      </c>
      <c r="Q26" s="21">
        <v>3708</v>
      </c>
      <c r="R26" s="21">
        <f>5000-4213</f>
        <v>787</v>
      </c>
      <c r="S26" s="21"/>
      <c r="T26" s="21"/>
      <c r="U26" s="21">
        <v>2722</v>
      </c>
      <c r="V26" s="3"/>
      <c r="W26" s="3"/>
      <c r="X26" s="3"/>
      <c r="Y26" s="3"/>
      <c r="Z26" s="3"/>
      <c r="AA26" s="3"/>
      <c r="AB26" s="3"/>
      <c r="AC26" s="3"/>
      <c r="AD26" s="3"/>
    </row>
    <row r="27" spans="1:30" ht="39" customHeight="1">
      <c r="A27" s="167"/>
      <c r="B27" s="170"/>
      <c r="C27" s="170"/>
      <c r="D27" s="181"/>
      <c r="E27" s="5">
        <f>E22+1</f>
        <v>4</v>
      </c>
      <c r="F27" s="6" t="s">
        <v>41</v>
      </c>
      <c r="G27" s="7">
        <f>G28+G29+G30+G31</f>
        <v>0</v>
      </c>
      <c r="H27" s="7">
        <v>21762</v>
      </c>
      <c r="I27" s="7">
        <f t="shared" ref="I27:U27" si="3">I28+I29+I30+I31</f>
        <v>22378</v>
      </c>
      <c r="J27" s="8">
        <f t="shared" si="3"/>
        <v>0</v>
      </c>
      <c r="K27" s="7">
        <f t="shared" si="3"/>
        <v>3560</v>
      </c>
      <c r="L27" s="7">
        <f t="shared" si="3"/>
        <v>1805</v>
      </c>
      <c r="M27" s="7">
        <f t="shared" si="3"/>
        <v>1783</v>
      </c>
      <c r="N27" s="7">
        <f t="shared" si="3"/>
        <v>1780</v>
      </c>
      <c r="O27" s="7">
        <f t="shared" si="3"/>
        <v>1780</v>
      </c>
      <c r="P27" s="7">
        <f t="shared" si="3"/>
        <v>4520</v>
      </c>
      <c r="Q27" s="7">
        <f t="shared" si="3"/>
        <v>0</v>
      </c>
      <c r="R27" s="7">
        <f t="shared" si="3"/>
        <v>1810</v>
      </c>
      <c r="S27" s="7">
        <f t="shared" si="3"/>
        <v>1780</v>
      </c>
      <c r="T27" s="7">
        <f t="shared" si="3"/>
        <v>1780</v>
      </c>
      <c r="U27" s="7">
        <f t="shared" si="3"/>
        <v>1780</v>
      </c>
      <c r="V27" s="182" t="s">
        <v>5</v>
      </c>
      <c r="W27" s="183"/>
      <c r="X27" s="184"/>
      <c r="Y27" s="182">
        <v>0</v>
      </c>
      <c r="Z27" s="183"/>
      <c r="AA27" s="183"/>
      <c r="AB27" s="183"/>
      <c r="AC27" s="183"/>
      <c r="AD27" s="184"/>
    </row>
    <row r="28" spans="1:30" ht="39" customHeight="1">
      <c r="A28" s="167"/>
      <c r="B28" s="170"/>
      <c r="C28" s="170"/>
      <c r="D28" s="181"/>
      <c r="E28" s="5"/>
      <c r="F28" s="6" t="s">
        <v>40</v>
      </c>
      <c r="G28" s="7">
        <v>0</v>
      </c>
      <c r="H28" s="7"/>
      <c r="I28" s="7">
        <f>J28+K28+L28+M28+N28+O28+P28+Q28+R28+S28+T28+U28</f>
        <v>0</v>
      </c>
      <c r="J28" s="8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182" t="s">
        <v>16</v>
      </c>
      <c r="W28" s="183"/>
      <c r="X28" s="184"/>
      <c r="Y28" s="182">
        <v>22378</v>
      </c>
      <c r="Z28" s="183"/>
      <c r="AA28" s="183"/>
      <c r="AB28" s="183"/>
      <c r="AC28" s="183"/>
      <c r="AD28" s="184"/>
    </row>
    <row r="29" spans="1:30" ht="39" hidden="1" customHeight="1">
      <c r="A29" s="167"/>
      <c r="B29" s="170"/>
      <c r="C29" s="170"/>
      <c r="D29" s="181"/>
      <c r="E29" s="5"/>
      <c r="F29" s="6" t="s">
        <v>27</v>
      </c>
      <c r="G29" s="7">
        <v>0</v>
      </c>
      <c r="H29" s="7"/>
      <c r="I29" s="7">
        <f>J29+K29+L29+M29+N29+O29+P29+Q29+R29+S29+T29+U29</f>
        <v>0</v>
      </c>
      <c r="J29" s="9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3"/>
      <c r="W29" s="3"/>
      <c r="X29" s="3"/>
      <c r="Y29" s="3"/>
      <c r="Z29" s="3"/>
      <c r="AA29" s="3"/>
      <c r="AB29" s="3"/>
      <c r="AC29" s="3"/>
      <c r="AD29" s="3"/>
    </row>
    <row r="30" spans="1:30" ht="39" customHeight="1">
      <c r="A30" s="167"/>
      <c r="B30" s="170"/>
      <c r="C30" s="170"/>
      <c r="D30" s="181"/>
      <c r="E30" s="5"/>
      <c r="F30" s="6" t="s">
        <v>82</v>
      </c>
      <c r="G30" s="7"/>
      <c r="H30" s="7"/>
      <c r="I30" s="7">
        <f>J30+K30+L30+M30+N30+O30+P30+Q30+R30+S30+T30+U30</f>
        <v>22378</v>
      </c>
      <c r="J30" s="9">
        <v>0</v>
      </c>
      <c r="K30" s="10">
        <v>3560</v>
      </c>
      <c r="L30" s="10">
        <v>1805</v>
      </c>
      <c r="M30" s="10">
        <v>1783</v>
      </c>
      <c r="N30" s="10">
        <v>1780</v>
      </c>
      <c r="O30" s="10">
        <v>1780</v>
      </c>
      <c r="P30" s="10">
        <v>4520</v>
      </c>
      <c r="Q30" s="10">
        <v>0</v>
      </c>
      <c r="R30" s="10">
        <v>1810</v>
      </c>
      <c r="S30" s="10">
        <v>1780</v>
      </c>
      <c r="T30" s="10">
        <v>1780</v>
      </c>
      <c r="U30" s="10">
        <v>1780</v>
      </c>
      <c r="V30" s="182"/>
      <c r="W30" s="183"/>
      <c r="X30" s="184"/>
      <c r="Y30" s="182"/>
      <c r="Z30" s="183"/>
      <c r="AA30" s="183"/>
      <c r="AB30" s="183"/>
      <c r="AC30" s="183"/>
      <c r="AD30" s="184"/>
    </row>
    <row r="31" spans="1:30" ht="39" hidden="1" customHeight="1">
      <c r="A31" s="167"/>
      <c r="B31" s="170"/>
      <c r="C31" s="170"/>
      <c r="D31" s="181"/>
      <c r="E31" s="5"/>
      <c r="F31" s="6">
        <v>324</v>
      </c>
      <c r="G31" s="7">
        <v>0</v>
      </c>
      <c r="H31" s="7"/>
      <c r="I31" s="7">
        <f>J31+K31+L31+M31+N31+O31+P31+Q31+R31+S31+T31+U31</f>
        <v>0</v>
      </c>
      <c r="J31" s="9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3"/>
      <c r="W31" s="3"/>
      <c r="X31" s="3"/>
      <c r="Y31" s="3"/>
      <c r="Z31" s="3"/>
      <c r="AA31" s="3"/>
      <c r="AB31" s="3"/>
      <c r="AC31" s="3"/>
      <c r="AD31" s="3"/>
    </row>
    <row r="32" spans="1:30" ht="39" customHeight="1">
      <c r="A32" s="167"/>
      <c r="B32" s="170"/>
      <c r="C32" s="170"/>
      <c r="D32" s="181"/>
      <c r="E32" s="5">
        <f>E27+1</f>
        <v>5</v>
      </c>
      <c r="F32" s="6" t="s">
        <v>39</v>
      </c>
      <c r="G32" s="7">
        <f>G33+G34+G35+G36</f>
        <v>34455</v>
      </c>
      <c r="H32" s="7">
        <v>72126</v>
      </c>
      <c r="I32" s="7">
        <f>I33</f>
        <v>18627.400000000001</v>
      </c>
      <c r="J32" s="8">
        <f t="shared" ref="J32:U32" si="4">J33+J34+J35+J36</f>
        <v>1081</v>
      </c>
      <c r="K32" s="7">
        <f t="shared" si="4"/>
        <v>9874</v>
      </c>
      <c r="L32" s="7">
        <f t="shared" si="4"/>
        <v>6142.7</v>
      </c>
      <c r="M32" s="7">
        <f t="shared" si="4"/>
        <v>5622.7</v>
      </c>
      <c r="N32" s="7">
        <f t="shared" si="4"/>
        <v>3105</v>
      </c>
      <c r="O32" s="7">
        <f t="shared" si="4"/>
        <v>784</v>
      </c>
      <c r="P32" s="7">
        <f t="shared" si="4"/>
        <v>899</v>
      </c>
      <c r="Q32" s="7">
        <f t="shared" si="4"/>
        <v>523</v>
      </c>
      <c r="R32" s="7">
        <f t="shared" si="4"/>
        <v>1861</v>
      </c>
      <c r="S32" s="7">
        <f t="shared" si="4"/>
        <v>1042</v>
      </c>
      <c r="T32" s="7">
        <f t="shared" si="4"/>
        <v>1042</v>
      </c>
      <c r="U32" s="7">
        <f t="shared" si="4"/>
        <v>2479</v>
      </c>
      <c r="V32" s="182" t="s">
        <v>5</v>
      </c>
      <c r="W32" s="183"/>
      <c r="X32" s="184"/>
      <c r="Y32" s="194">
        <v>18627.400000000001</v>
      </c>
      <c r="Z32" s="195"/>
      <c r="AA32" s="195"/>
      <c r="AB32" s="195"/>
      <c r="AC32" s="195"/>
      <c r="AD32" s="196"/>
    </row>
    <row r="33" spans="1:30" ht="39" customHeight="1">
      <c r="A33" s="167"/>
      <c r="B33" s="170"/>
      <c r="C33" s="170"/>
      <c r="D33" s="181"/>
      <c r="E33" s="5"/>
      <c r="F33" s="6" t="s">
        <v>5</v>
      </c>
      <c r="G33" s="7">
        <v>18627</v>
      </c>
      <c r="H33" s="7"/>
      <c r="I33" s="7">
        <f>J33+K33+L33+M33+N33+O33+P33+Q33+R33+S33+T33+U33</f>
        <v>18627.400000000001</v>
      </c>
      <c r="J33" s="9">
        <v>0</v>
      </c>
      <c r="K33" s="10">
        <v>8459</v>
      </c>
      <c r="L33" s="10">
        <v>4228.7</v>
      </c>
      <c r="M33" s="10">
        <v>4228.7</v>
      </c>
      <c r="N33" s="10">
        <f>4229-2518</f>
        <v>1711</v>
      </c>
      <c r="O33" s="10"/>
      <c r="P33" s="10"/>
      <c r="Q33" s="10"/>
      <c r="R33" s="10"/>
      <c r="S33" s="10"/>
      <c r="T33" s="10"/>
      <c r="U33" s="10"/>
      <c r="V33" s="182"/>
      <c r="W33" s="183"/>
      <c r="X33" s="184"/>
      <c r="Y33" s="182"/>
      <c r="Z33" s="183"/>
      <c r="AA33" s="183"/>
      <c r="AB33" s="183"/>
      <c r="AC33" s="183"/>
      <c r="AD33" s="184"/>
    </row>
    <row r="34" spans="1:30" ht="39" hidden="1" customHeight="1">
      <c r="A34" s="167"/>
      <c r="B34" s="170"/>
      <c r="C34" s="170"/>
      <c r="D34" s="181"/>
      <c r="E34" s="5"/>
      <c r="F34" s="6" t="s">
        <v>27</v>
      </c>
      <c r="G34" s="7">
        <v>6548</v>
      </c>
      <c r="H34" s="7"/>
      <c r="I34" s="7">
        <f>J34+K34+L34+M34+N34+O34+P34+Q34+R34+S34+T34+U34</f>
        <v>6548</v>
      </c>
      <c r="J34" s="11">
        <v>0</v>
      </c>
      <c r="K34" s="12">
        <v>928</v>
      </c>
      <c r="L34" s="12">
        <v>1130</v>
      </c>
      <c r="M34" s="12">
        <v>610</v>
      </c>
      <c r="N34" s="12">
        <v>610</v>
      </c>
      <c r="O34" s="12"/>
      <c r="P34" s="12">
        <f>610-235</f>
        <v>375</v>
      </c>
      <c r="Q34" s="12">
        <v>0</v>
      </c>
      <c r="R34" s="12">
        <f>519+819</f>
        <v>1338</v>
      </c>
      <c r="S34" s="12">
        <v>519.00000000000011</v>
      </c>
      <c r="T34" s="12">
        <v>519.00000000000011</v>
      </c>
      <c r="U34" s="12">
        <v>519.00000000000011</v>
      </c>
      <c r="V34" s="3"/>
      <c r="W34" s="3"/>
      <c r="X34" s="3"/>
      <c r="Y34" s="3"/>
      <c r="Z34" s="3"/>
      <c r="AA34" s="3"/>
      <c r="AB34" s="3"/>
      <c r="AC34" s="3"/>
      <c r="AD34" s="3"/>
    </row>
    <row r="35" spans="1:30" ht="39" hidden="1" customHeight="1">
      <c r="A35" s="167"/>
      <c r="B35" s="170"/>
      <c r="C35" s="170"/>
      <c r="D35" s="181"/>
      <c r="E35" s="5"/>
      <c r="F35" s="6" t="s">
        <v>3</v>
      </c>
      <c r="G35" s="7"/>
      <c r="H35" s="7"/>
      <c r="I35" s="7">
        <f>J35+K35+L35+M35+N35+O35+P35+Q35+R35+S35+T35+U35</f>
        <v>0</v>
      </c>
      <c r="J35" s="9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3"/>
      <c r="W35" s="3"/>
      <c r="X35" s="3"/>
      <c r="Y35" s="3"/>
      <c r="Z35" s="3"/>
      <c r="AA35" s="3"/>
      <c r="AB35" s="3"/>
      <c r="AC35" s="3"/>
      <c r="AD35" s="3"/>
    </row>
    <row r="36" spans="1:30" ht="39" hidden="1" customHeight="1">
      <c r="A36" s="167"/>
      <c r="B36" s="170"/>
      <c r="C36" s="170"/>
      <c r="D36" s="181"/>
      <c r="E36" s="5"/>
      <c r="F36" s="6">
        <v>324</v>
      </c>
      <c r="G36" s="7">
        <v>9280</v>
      </c>
      <c r="H36" s="7"/>
      <c r="I36" s="7">
        <f>J36+K36+L36+M36+N36+O36+P36+Q36+R36+S36+T36+U36</f>
        <v>9280</v>
      </c>
      <c r="J36" s="16">
        <f>784+1+296</f>
        <v>1081</v>
      </c>
      <c r="K36" s="17">
        <f>784-297</f>
        <v>487</v>
      </c>
      <c r="L36" s="17">
        <v>784</v>
      </c>
      <c r="M36" s="17">
        <v>784</v>
      </c>
      <c r="N36" s="17">
        <v>784</v>
      </c>
      <c r="O36" s="17">
        <v>784</v>
      </c>
      <c r="P36" s="17">
        <v>524</v>
      </c>
      <c r="Q36" s="17">
        <v>523</v>
      </c>
      <c r="R36" s="17">
        <v>523</v>
      </c>
      <c r="S36" s="17">
        <v>523</v>
      </c>
      <c r="T36" s="17">
        <v>523</v>
      </c>
      <c r="U36" s="17">
        <f>523+1437</f>
        <v>1960</v>
      </c>
      <c r="V36" s="3"/>
      <c r="W36" s="3"/>
      <c r="X36" s="3"/>
      <c r="Y36" s="3"/>
      <c r="Z36" s="3"/>
      <c r="AA36" s="3"/>
      <c r="AB36" s="3"/>
      <c r="AC36" s="3"/>
      <c r="AD36" s="3"/>
    </row>
    <row r="37" spans="1:30" ht="39" customHeight="1">
      <c r="A37" s="167"/>
      <c r="B37" s="170"/>
      <c r="C37" s="170"/>
      <c r="D37" s="181"/>
      <c r="E37" s="5">
        <f>E32+1</f>
        <v>6</v>
      </c>
      <c r="F37" s="6" t="s">
        <v>38</v>
      </c>
      <c r="G37" s="7">
        <f>G38+G39+G40+G41</f>
        <v>169809</v>
      </c>
      <c r="H37" s="7">
        <v>344617</v>
      </c>
      <c r="I37" s="7">
        <f>I38</f>
        <v>96464.9</v>
      </c>
      <c r="J37" s="8">
        <f t="shared" ref="J37:U37" si="5">J38+J39+J40+J41</f>
        <v>0</v>
      </c>
      <c r="K37" s="7">
        <f t="shared" si="5"/>
        <v>31871.9</v>
      </c>
      <c r="L37" s="7">
        <f t="shared" si="5"/>
        <v>15743</v>
      </c>
      <c r="M37" s="7">
        <f t="shared" si="5"/>
        <v>15182</v>
      </c>
      <c r="N37" s="7">
        <f t="shared" si="5"/>
        <v>32447</v>
      </c>
      <c r="O37" s="7">
        <f t="shared" si="5"/>
        <v>16764</v>
      </c>
      <c r="P37" s="7">
        <f t="shared" si="5"/>
        <v>31647</v>
      </c>
      <c r="Q37" s="7">
        <f t="shared" si="5"/>
        <v>6403</v>
      </c>
      <c r="R37" s="7">
        <f t="shared" si="5"/>
        <v>8454</v>
      </c>
      <c r="S37" s="7">
        <f t="shared" si="5"/>
        <v>9556</v>
      </c>
      <c r="T37" s="7">
        <f t="shared" si="5"/>
        <v>1741</v>
      </c>
      <c r="U37" s="7">
        <f t="shared" si="5"/>
        <v>0</v>
      </c>
      <c r="V37" s="182" t="s">
        <v>5</v>
      </c>
      <c r="W37" s="183"/>
      <c r="X37" s="184"/>
      <c r="Y37" s="182">
        <v>96464.9</v>
      </c>
      <c r="Z37" s="183"/>
      <c r="AA37" s="183"/>
      <c r="AB37" s="183"/>
      <c r="AC37" s="183"/>
      <c r="AD37" s="184"/>
    </row>
    <row r="38" spans="1:30" ht="39" customHeight="1">
      <c r="A38" s="167"/>
      <c r="B38" s="170"/>
      <c r="C38" s="170"/>
      <c r="D38" s="181"/>
      <c r="E38" s="5"/>
      <c r="F38" s="6" t="s">
        <v>5</v>
      </c>
      <c r="G38" s="7">
        <v>96465</v>
      </c>
      <c r="H38" s="7"/>
      <c r="I38" s="7">
        <f>J38+K38+L38+M38+N38+O38+P38+Q38+R38+S38+T38+U38</f>
        <v>96464.9</v>
      </c>
      <c r="J38" s="9">
        <v>0</v>
      </c>
      <c r="K38" s="10">
        <v>16581.900000000001</v>
      </c>
      <c r="L38" s="10">
        <v>8562</v>
      </c>
      <c r="M38" s="10">
        <v>8290.7999999999993</v>
      </c>
      <c r="N38" s="10">
        <v>24973.1</v>
      </c>
      <c r="O38" s="10">
        <v>8290.7999999999993</v>
      </c>
      <c r="P38" s="10">
        <f>30839-3384</f>
        <v>27455</v>
      </c>
      <c r="Q38" s="10">
        <v>2211</v>
      </c>
      <c r="R38" s="10">
        <v>100.29999999999927</v>
      </c>
      <c r="S38" s="10">
        <v>0</v>
      </c>
      <c r="T38" s="10">
        <v>0</v>
      </c>
      <c r="U38" s="10">
        <v>0</v>
      </c>
      <c r="V38" s="182"/>
      <c r="W38" s="183"/>
      <c r="X38" s="184"/>
      <c r="Y38" s="182"/>
      <c r="Z38" s="183"/>
      <c r="AA38" s="183"/>
      <c r="AB38" s="183"/>
      <c r="AC38" s="183"/>
      <c r="AD38" s="184"/>
    </row>
    <row r="39" spans="1:30" ht="39" hidden="1" customHeight="1">
      <c r="A39" s="167"/>
      <c r="B39" s="170"/>
      <c r="C39" s="170"/>
      <c r="D39" s="181"/>
      <c r="E39" s="5"/>
      <c r="F39" s="6" t="s">
        <v>27</v>
      </c>
      <c r="G39" s="7">
        <v>32591</v>
      </c>
      <c r="H39" s="7"/>
      <c r="I39" s="7">
        <f>J39+K39+L39+M39+N39+O39+P39+Q39+R39+S39+T39+U39</f>
        <v>32590.800000000003</v>
      </c>
      <c r="J39" s="11">
        <v>0</v>
      </c>
      <c r="K39" s="12">
        <v>7688</v>
      </c>
      <c r="L39" s="12">
        <v>3380</v>
      </c>
      <c r="M39" s="12">
        <v>3256</v>
      </c>
      <c r="N39" s="12">
        <v>4072.8999999999996</v>
      </c>
      <c r="O39" s="12">
        <v>5072.2000000000007</v>
      </c>
      <c r="P39" s="12">
        <v>228</v>
      </c>
      <c r="Q39" s="12">
        <v>228</v>
      </c>
      <c r="R39" s="12">
        <v>3731.7000000000007</v>
      </c>
      <c r="S39" s="12">
        <f>2445-1622+4111</f>
        <v>4934</v>
      </c>
      <c r="T39" s="12"/>
      <c r="U39" s="14"/>
      <c r="V39" s="3"/>
      <c r="W39" s="3"/>
      <c r="X39" s="3"/>
      <c r="Y39" s="3"/>
      <c r="Z39" s="3"/>
      <c r="AA39" s="3"/>
      <c r="AB39" s="3"/>
      <c r="AC39" s="3"/>
      <c r="AD39" s="3"/>
    </row>
    <row r="40" spans="1:30" ht="39" hidden="1" customHeight="1">
      <c r="A40" s="167"/>
      <c r="B40" s="170"/>
      <c r="C40" s="170"/>
      <c r="D40" s="181"/>
      <c r="E40" s="5"/>
      <c r="F40" s="6" t="s">
        <v>3</v>
      </c>
      <c r="G40" s="7"/>
      <c r="H40" s="7"/>
      <c r="I40" s="7">
        <f>J40+K40+L40+M40+N40+O40+P40+Q40+R40+S40+T40+U40</f>
        <v>0</v>
      </c>
      <c r="J40" s="9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3"/>
      <c r="W40" s="3"/>
      <c r="X40" s="3"/>
      <c r="Y40" s="3"/>
      <c r="Z40" s="3"/>
      <c r="AA40" s="3"/>
      <c r="AB40" s="3"/>
      <c r="AC40" s="3"/>
      <c r="AD40" s="3"/>
    </row>
    <row r="41" spans="1:30" ht="39" hidden="1" customHeight="1">
      <c r="A41" s="167"/>
      <c r="B41" s="170"/>
      <c r="C41" s="170"/>
      <c r="D41" s="181"/>
      <c r="E41" s="5"/>
      <c r="F41" s="6">
        <v>324</v>
      </c>
      <c r="G41" s="7">
        <v>40753</v>
      </c>
      <c r="H41" s="7"/>
      <c r="I41" s="7">
        <f>J41+K41+L41+M41+N41+O41+P41+Q41+R41+S41+T41+U41</f>
        <v>40753.199999999997</v>
      </c>
      <c r="J41" s="20">
        <f>3801-3801</f>
        <v>0</v>
      </c>
      <c r="K41" s="21">
        <f>3801+3801</f>
        <v>7602</v>
      </c>
      <c r="L41" s="21">
        <v>3801</v>
      </c>
      <c r="M41" s="21">
        <f>3401+234.2</f>
        <v>3635.2</v>
      </c>
      <c r="N41" s="21">
        <v>3401</v>
      </c>
      <c r="O41" s="21">
        <v>3401</v>
      </c>
      <c r="P41" s="21">
        <v>3964</v>
      </c>
      <c r="Q41" s="21">
        <v>3964</v>
      </c>
      <c r="R41" s="21">
        <v>4622</v>
      </c>
      <c r="S41" s="21">
        <v>4622</v>
      </c>
      <c r="T41" s="21">
        <f>4346-2605</f>
        <v>1741</v>
      </c>
      <c r="U41" s="21">
        <f>4322-4051-271</f>
        <v>0</v>
      </c>
      <c r="V41" s="3"/>
      <c r="W41" s="3"/>
      <c r="X41" s="3"/>
      <c r="Y41" s="3"/>
      <c r="Z41" s="3"/>
      <c r="AA41" s="3"/>
      <c r="AB41" s="3"/>
      <c r="AC41" s="3"/>
      <c r="AD41" s="3"/>
    </row>
    <row r="42" spans="1:30" ht="39" customHeight="1">
      <c r="A42" s="167"/>
      <c r="B42" s="170"/>
      <c r="C42" s="170"/>
      <c r="D42" s="181"/>
      <c r="E42" s="5">
        <f>E37+1</f>
        <v>7</v>
      </c>
      <c r="F42" s="6" t="s">
        <v>37</v>
      </c>
      <c r="G42" s="7">
        <f>G43+G44+G45+G46</f>
        <v>70408</v>
      </c>
      <c r="H42" s="7">
        <v>149075.79999999999</v>
      </c>
      <c r="I42" s="7">
        <f>I43</f>
        <v>46294</v>
      </c>
      <c r="J42" s="8">
        <f t="shared" ref="J42:U42" si="6">J43+J44+J45+J46</f>
        <v>0</v>
      </c>
      <c r="K42" s="7">
        <f t="shared" si="6"/>
        <v>19195</v>
      </c>
      <c r="L42" s="7">
        <f t="shared" si="6"/>
        <v>10228</v>
      </c>
      <c r="M42" s="7">
        <f t="shared" si="6"/>
        <v>9692</v>
      </c>
      <c r="N42" s="7">
        <f t="shared" si="6"/>
        <v>12671</v>
      </c>
      <c r="O42" s="7">
        <f t="shared" si="6"/>
        <v>6825</v>
      </c>
      <c r="P42" s="7">
        <f t="shared" si="6"/>
        <v>3882</v>
      </c>
      <c r="Q42" s="7">
        <f t="shared" si="6"/>
        <v>0</v>
      </c>
      <c r="R42" s="7">
        <f t="shared" si="6"/>
        <v>1500</v>
      </c>
      <c r="S42" s="7">
        <f t="shared" si="6"/>
        <v>1500</v>
      </c>
      <c r="T42" s="7">
        <f t="shared" si="6"/>
        <v>0</v>
      </c>
      <c r="U42" s="7">
        <f t="shared" si="6"/>
        <v>0</v>
      </c>
      <c r="V42" s="182" t="s">
        <v>5</v>
      </c>
      <c r="W42" s="183"/>
      <c r="X42" s="184"/>
      <c r="Y42" s="182">
        <v>46294</v>
      </c>
      <c r="Z42" s="183"/>
      <c r="AA42" s="183"/>
      <c r="AB42" s="183"/>
      <c r="AC42" s="183"/>
      <c r="AD42" s="184"/>
    </row>
    <row r="43" spans="1:30" ht="39" customHeight="1">
      <c r="A43" s="167"/>
      <c r="B43" s="170"/>
      <c r="C43" s="170"/>
      <c r="D43" s="181"/>
      <c r="E43" s="5"/>
      <c r="F43" s="6" t="s">
        <v>5</v>
      </c>
      <c r="G43" s="7">
        <v>46294</v>
      </c>
      <c r="H43" s="7"/>
      <c r="I43" s="7">
        <f>J43+K43+L43+M43+N43+O43+P43+Q43+R43+S43+T43+U43</f>
        <v>46294</v>
      </c>
      <c r="J43" s="9">
        <v>0</v>
      </c>
      <c r="K43" s="10">
        <v>14921</v>
      </c>
      <c r="L43" s="10">
        <v>6928</v>
      </c>
      <c r="M43" s="10">
        <v>7892</v>
      </c>
      <c r="N43" s="10">
        <v>9371</v>
      </c>
      <c r="O43" s="10">
        <f>13117-9817</f>
        <v>3300</v>
      </c>
      <c r="P43" s="10">
        <v>3882</v>
      </c>
      <c r="Q43" s="10"/>
      <c r="R43" s="10"/>
      <c r="S43" s="10"/>
      <c r="T43" s="10"/>
      <c r="U43" s="10"/>
      <c r="V43" s="182"/>
      <c r="W43" s="183"/>
      <c r="X43" s="184"/>
      <c r="Y43" s="182"/>
      <c r="Z43" s="183"/>
      <c r="AA43" s="183"/>
      <c r="AB43" s="183"/>
      <c r="AC43" s="183"/>
      <c r="AD43" s="184"/>
    </row>
    <row r="44" spans="1:30" ht="39" hidden="1" customHeight="1">
      <c r="A44" s="167"/>
      <c r="B44" s="170"/>
      <c r="C44" s="170"/>
      <c r="D44" s="181"/>
      <c r="E44" s="5"/>
      <c r="F44" s="6" t="s">
        <v>27</v>
      </c>
      <c r="G44" s="7">
        <v>13460</v>
      </c>
      <c r="H44" s="7"/>
      <c r="I44" s="7">
        <f>J44+K44+L44+M44+N44+O44+P44+Q44+R44+S44+T44+U44</f>
        <v>8545</v>
      </c>
      <c r="J44" s="22">
        <v>0</v>
      </c>
      <c r="K44" s="23">
        <v>674</v>
      </c>
      <c r="L44" s="23">
        <v>1500</v>
      </c>
      <c r="M44" s="23">
        <v>0</v>
      </c>
      <c r="N44" s="23">
        <v>1500</v>
      </c>
      <c r="O44" s="23">
        <v>1871</v>
      </c>
      <c r="P44" s="23">
        <v>0</v>
      </c>
      <c r="Q44" s="23">
        <v>0</v>
      </c>
      <c r="R44" s="23">
        <v>1500</v>
      </c>
      <c r="S44" s="23">
        <v>1500</v>
      </c>
      <c r="T44" s="23">
        <v>0</v>
      </c>
      <c r="U44" s="23">
        <v>0</v>
      </c>
      <c r="V44" s="3"/>
      <c r="W44" s="3"/>
      <c r="X44" s="3"/>
      <c r="Y44" s="3"/>
      <c r="Z44" s="3"/>
      <c r="AA44" s="3"/>
      <c r="AB44" s="3"/>
      <c r="AC44" s="3"/>
      <c r="AD44" s="3"/>
    </row>
    <row r="45" spans="1:30" ht="39" hidden="1" customHeight="1">
      <c r="A45" s="167"/>
      <c r="B45" s="170"/>
      <c r="C45" s="170"/>
      <c r="D45" s="181"/>
      <c r="E45" s="5"/>
      <c r="F45" s="6" t="s">
        <v>3</v>
      </c>
      <c r="G45" s="7"/>
      <c r="H45" s="7"/>
      <c r="I45" s="7">
        <f>J45+K45+L45+M45+N45+O45+P45+Q45+R45+S45+T45+U45</f>
        <v>0</v>
      </c>
      <c r="J45" s="9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3"/>
      <c r="W45" s="3"/>
      <c r="X45" s="3"/>
      <c r="Y45" s="3"/>
      <c r="Z45" s="3"/>
      <c r="AA45" s="3"/>
      <c r="AB45" s="3"/>
      <c r="AC45" s="3"/>
      <c r="AD45" s="3"/>
    </row>
    <row r="46" spans="1:30" ht="39" hidden="1" customHeight="1">
      <c r="A46" s="167"/>
      <c r="B46" s="170"/>
      <c r="C46" s="170"/>
      <c r="D46" s="181"/>
      <c r="E46" s="5"/>
      <c r="F46" s="6">
        <v>324</v>
      </c>
      <c r="G46" s="7">
        <v>10654</v>
      </c>
      <c r="H46" s="7"/>
      <c r="I46" s="7">
        <f>J46+K46+L46+M46+N46+O46+P46+Q46+R46+S46+T46+U46</f>
        <v>10654</v>
      </c>
      <c r="J46" s="24">
        <f>1800-1800</f>
        <v>0</v>
      </c>
      <c r="K46" s="25">
        <f>1800+1800</f>
        <v>3600</v>
      </c>
      <c r="L46" s="25">
        <v>1800</v>
      </c>
      <c r="M46" s="25">
        <v>1800</v>
      </c>
      <c r="N46" s="25">
        <v>1800</v>
      </c>
      <c r="O46" s="25">
        <f>1800-146</f>
        <v>1654</v>
      </c>
      <c r="P46" s="25"/>
      <c r="Q46" s="25"/>
      <c r="R46" s="25"/>
      <c r="S46" s="25"/>
      <c r="T46" s="25"/>
      <c r="U46" s="25"/>
      <c r="V46" s="3"/>
      <c r="W46" s="3"/>
      <c r="X46" s="3"/>
      <c r="Y46" s="3"/>
      <c r="Z46" s="3"/>
      <c r="AA46" s="3"/>
      <c r="AB46" s="3"/>
      <c r="AC46" s="3"/>
      <c r="AD46" s="3"/>
    </row>
    <row r="47" spans="1:30" ht="39" customHeight="1">
      <c r="A47" s="167"/>
      <c r="B47" s="170"/>
      <c r="C47" s="170"/>
      <c r="D47" s="181"/>
      <c r="E47" s="5">
        <f>E42+1</f>
        <v>8</v>
      </c>
      <c r="F47" s="6" t="s">
        <v>36</v>
      </c>
      <c r="G47" s="7">
        <f>G48+G49+G50+G51</f>
        <v>112347</v>
      </c>
      <c r="H47" s="7">
        <v>128397</v>
      </c>
      <c r="I47" s="7">
        <f>I48</f>
        <v>66725.5</v>
      </c>
      <c r="J47" s="8">
        <f t="shared" ref="J47:U47" si="7">J48+J49+J50+J51</f>
        <v>0</v>
      </c>
      <c r="K47" s="7">
        <f t="shared" si="7"/>
        <v>24868.1</v>
      </c>
      <c r="L47" s="7">
        <f t="shared" si="7"/>
        <v>14217</v>
      </c>
      <c r="M47" s="7">
        <f t="shared" si="7"/>
        <v>14084.1</v>
      </c>
      <c r="N47" s="7">
        <f t="shared" si="7"/>
        <v>14084</v>
      </c>
      <c r="O47" s="7">
        <f t="shared" si="7"/>
        <v>11845.1</v>
      </c>
      <c r="P47" s="7">
        <f t="shared" si="7"/>
        <v>21004</v>
      </c>
      <c r="Q47" s="7">
        <f t="shared" si="7"/>
        <v>5246.2</v>
      </c>
      <c r="R47" s="7">
        <f t="shared" si="7"/>
        <v>3492</v>
      </c>
      <c r="S47" s="7">
        <f t="shared" si="7"/>
        <v>148</v>
      </c>
      <c r="T47" s="7">
        <f t="shared" si="7"/>
        <v>148</v>
      </c>
      <c r="U47" s="7">
        <f t="shared" si="7"/>
        <v>149</v>
      </c>
      <c r="V47" s="182" t="s">
        <v>5</v>
      </c>
      <c r="W47" s="183"/>
      <c r="X47" s="184"/>
      <c r="Y47" s="182">
        <v>66725.5</v>
      </c>
      <c r="Z47" s="183"/>
      <c r="AA47" s="183"/>
      <c r="AB47" s="183"/>
      <c r="AC47" s="183"/>
      <c r="AD47" s="184"/>
    </row>
    <row r="48" spans="1:30" ht="39" customHeight="1">
      <c r="A48" s="167"/>
      <c r="B48" s="170"/>
      <c r="C48" s="170"/>
      <c r="D48" s="181"/>
      <c r="E48" s="5"/>
      <c r="F48" s="6" t="s">
        <v>5</v>
      </c>
      <c r="G48" s="7">
        <v>69623</v>
      </c>
      <c r="H48" s="7"/>
      <c r="I48" s="7">
        <f>J48+K48+L48+M48+N48+O48+P48+Q48+R48+S48+T48+U48</f>
        <v>66725.5</v>
      </c>
      <c r="J48" s="9">
        <v>0</v>
      </c>
      <c r="K48" s="10">
        <f>16586.6-4181</f>
        <v>12405.599999999999</v>
      </c>
      <c r="L48" s="10">
        <v>6203</v>
      </c>
      <c r="M48" s="10">
        <v>6203.1</v>
      </c>
      <c r="N48" s="10">
        <v>6203</v>
      </c>
      <c r="O48" s="10">
        <v>6202.6</v>
      </c>
      <c r="P48" s="10">
        <v>21004</v>
      </c>
      <c r="Q48" s="10">
        <v>4567.2</v>
      </c>
      <c r="R48" s="10">
        <v>3492</v>
      </c>
      <c r="S48" s="10">
        <v>148</v>
      </c>
      <c r="T48" s="10">
        <v>148</v>
      </c>
      <c r="U48" s="10">
        <v>149</v>
      </c>
      <c r="V48" s="182"/>
      <c r="W48" s="183"/>
      <c r="X48" s="184"/>
      <c r="Y48" s="182"/>
      <c r="Z48" s="183"/>
      <c r="AA48" s="183"/>
      <c r="AB48" s="183"/>
      <c r="AC48" s="183"/>
      <c r="AD48" s="184"/>
    </row>
    <row r="49" spans="1:30" ht="39" hidden="1" customHeight="1">
      <c r="A49" s="167"/>
      <c r="B49" s="170"/>
      <c r="C49" s="170"/>
      <c r="D49" s="181"/>
      <c r="E49" s="5"/>
      <c r="F49" s="6" t="s">
        <v>27</v>
      </c>
      <c r="G49" s="7">
        <v>20575</v>
      </c>
      <c r="H49" s="7"/>
      <c r="I49" s="7">
        <f>J49+K49+L49+M49+N49+O49+P49+Q49+R49+S49+T49+U49</f>
        <v>20411</v>
      </c>
      <c r="J49" s="11">
        <v>0</v>
      </c>
      <c r="K49" s="12">
        <v>4100.5</v>
      </c>
      <c r="L49" s="12">
        <v>3833</v>
      </c>
      <c r="M49" s="12">
        <v>3700</v>
      </c>
      <c r="N49" s="26">
        <v>3700</v>
      </c>
      <c r="O49" s="26">
        <v>4398.5</v>
      </c>
      <c r="P49" s="26">
        <v>0</v>
      </c>
      <c r="Q49" s="26">
        <v>679</v>
      </c>
      <c r="R49" s="26">
        <v>0</v>
      </c>
      <c r="S49" s="12">
        <v>0</v>
      </c>
      <c r="T49" s="12">
        <v>0</v>
      </c>
      <c r="U49" s="12">
        <v>0</v>
      </c>
      <c r="V49" s="3"/>
      <c r="W49" s="3"/>
      <c r="X49" s="3"/>
      <c r="Y49" s="3"/>
      <c r="Z49" s="3"/>
      <c r="AA49" s="3"/>
      <c r="AB49" s="3"/>
      <c r="AC49" s="3"/>
      <c r="AD49" s="3"/>
    </row>
    <row r="50" spans="1:30" ht="39" hidden="1" customHeight="1">
      <c r="A50" s="167"/>
      <c r="B50" s="170"/>
      <c r="C50" s="170"/>
      <c r="D50" s="181"/>
      <c r="E50" s="5"/>
      <c r="F50" s="6" t="s">
        <v>3</v>
      </c>
      <c r="G50" s="7"/>
      <c r="H50" s="7"/>
      <c r="I50" s="7">
        <f>J50+K50+L50+M50+N50+O50+P50+Q50+R50+S50+T50+U50</f>
        <v>0</v>
      </c>
      <c r="J50" s="9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3"/>
      <c r="W50" s="3"/>
      <c r="X50" s="3"/>
      <c r="Y50" s="3"/>
      <c r="Z50" s="3"/>
      <c r="AA50" s="3"/>
      <c r="AB50" s="3"/>
      <c r="AC50" s="3"/>
      <c r="AD50" s="3"/>
    </row>
    <row r="51" spans="1:30" ht="39" hidden="1" customHeight="1">
      <c r="A51" s="167"/>
      <c r="B51" s="170"/>
      <c r="C51" s="170"/>
      <c r="D51" s="181"/>
      <c r="E51" s="5"/>
      <c r="F51" s="6">
        <v>324</v>
      </c>
      <c r="G51" s="7">
        <v>22149</v>
      </c>
      <c r="H51" s="7"/>
      <c r="I51" s="7">
        <f>J51+K51+L51+M51+N51+O51+P51+Q51+R51+S51+T51+U51</f>
        <v>22149</v>
      </c>
      <c r="J51" s="16">
        <f>4181-4181</f>
        <v>0</v>
      </c>
      <c r="K51" s="17">
        <f>4181+4181</f>
        <v>8362</v>
      </c>
      <c r="L51" s="17">
        <v>4181</v>
      </c>
      <c r="M51" s="17">
        <v>4181</v>
      </c>
      <c r="N51" s="17">
        <v>4181</v>
      </c>
      <c r="O51" s="17">
        <f>4181-2937</f>
        <v>1244</v>
      </c>
      <c r="P51" s="17"/>
      <c r="Q51" s="17"/>
      <c r="R51" s="17"/>
      <c r="S51" s="17"/>
      <c r="T51" s="17"/>
      <c r="U51" s="17"/>
      <c r="V51" s="3"/>
      <c r="W51" s="3"/>
      <c r="X51" s="3"/>
      <c r="Y51" s="3"/>
      <c r="Z51" s="3"/>
      <c r="AA51" s="3"/>
      <c r="AB51" s="3"/>
      <c r="AC51" s="3"/>
      <c r="AD51" s="3"/>
    </row>
    <row r="52" spans="1:30" ht="39" customHeight="1">
      <c r="A52" s="167"/>
      <c r="B52" s="170"/>
      <c r="C52" s="170"/>
      <c r="D52" s="181"/>
      <c r="E52" s="5">
        <f>E47+1</f>
        <v>9</v>
      </c>
      <c r="F52" s="6" t="s">
        <v>35</v>
      </c>
      <c r="G52" s="7">
        <f>G53+G54+G55+G56</f>
        <v>43654</v>
      </c>
      <c r="H52" s="7">
        <v>173280</v>
      </c>
      <c r="I52" s="7">
        <f>I53</f>
        <v>21271</v>
      </c>
      <c r="J52" s="8">
        <f t="shared" ref="J52:U52" si="8">J53+J54+J55+J56</f>
        <v>0</v>
      </c>
      <c r="K52" s="7">
        <f t="shared" si="8"/>
        <v>21285</v>
      </c>
      <c r="L52" s="7">
        <f t="shared" si="8"/>
        <v>7010</v>
      </c>
      <c r="M52" s="7">
        <f t="shared" si="8"/>
        <v>2000</v>
      </c>
      <c r="N52" s="7">
        <f t="shared" si="8"/>
        <v>1000</v>
      </c>
      <c r="O52" s="7">
        <f t="shared" si="8"/>
        <v>1200</v>
      </c>
      <c r="P52" s="7">
        <f t="shared" si="8"/>
        <v>783</v>
      </c>
      <c r="Q52" s="7">
        <f t="shared" si="8"/>
        <v>1000</v>
      </c>
      <c r="R52" s="7">
        <f t="shared" si="8"/>
        <v>2000</v>
      </c>
      <c r="S52" s="7">
        <f t="shared" si="8"/>
        <v>2000</v>
      </c>
      <c r="T52" s="7">
        <f t="shared" si="8"/>
        <v>1000</v>
      </c>
      <c r="U52" s="7">
        <f t="shared" si="8"/>
        <v>813</v>
      </c>
      <c r="V52" s="182" t="s">
        <v>5</v>
      </c>
      <c r="W52" s="183"/>
      <c r="X52" s="184"/>
      <c r="Y52" s="182">
        <v>21271</v>
      </c>
      <c r="Z52" s="183"/>
      <c r="AA52" s="183"/>
      <c r="AB52" s="183"/>
      <c r="AC52" s="183"/>
      <c r="AD52" s="184"/>
    </row>
    <row r="53" spans="1:30" ht="39" customHeight="1">
      <c r="A53" s="167"/>
      <c r="B53" s="170"/>
      <c r="C53" s="170"/>
      <c r="D53" s="181"/>
      <c r="E53" s="5"/>
      <c r="F53" s="6" t="s">
        <v>5</v>
      </c>
      <c r="G53" s="7">
        <v>21271</v>
      </c>
      <c r="H53" s="7"/>
      <c r="I53" s="7">
        <f>J53+K53+L53+M53+N53+O53+P53+Q53+R53+S53+T53+U53</f>
        <v>21271</v>
      </c>
      <c r="J53" s="9">
        <v>0</v>
      </c>
      <c r="K53" s="10">
        <v>16261</v>
      </c>
      <c r="L53" s="10">
        <f>8212-3202</f>
        <v>5010</v>
      </c>
      <c r="M53" s="10">
        <f>7986-7986</f>
        <v>0</v>
      </c>
      <c r="N53" s="10">
        <v>0</v>
      </c>
      <c r="O53" s="10">
        <v>0</v>
      </c>
      <c r="P53" s="10">
        <v>0</v>
      </c>
      <c r="Q53" s="10">
        <v>0</v>
      </c>
      <c r="R53" s="10">
        <f>60-60</f>
        <v>0</v>
      </c>
      <c r="S53" s="10">
        <v>0</v>
      </c>
      <c r="T53" s="10">
        <v>0</v>
      </c>
      <c r="U53" s="10">
        <v>0</v>
      </c>
      <c r="V53" s="182"/>
      <c r="W53" s="183"/>
      <c r="X53" s="184"/>
      <c r="Y53" s="182"/>
      <c r="Z53" s="183"/>
      <c r="AA53" s="183"/>
      <c r="AB53" s="183"/>
      <c r="AC53" s="183"/>
      <c r="AD53" s="184"/>
    </row>
    <row r="54" spans="1:30" ht="39" hidden="1" customHeight="1">
      <c r="A54" s="167"/>
      <c r="B54" s="170"/>
      <c r="C54" s="170"/>
      <c r="D54" s="181"/>
      <c r="E54" s="5"/>
      <c r="F54" s="6" t="s">
        <v>27</v>
      </c>
      <c r="G54" s="7">
        <v>11147</v>
      </c>
      <c r="H54" s="7"/>
      <c r="I54" s="7">
        <f>J54+K54+L54+M54+N54+O54+P54+Q54+R54+S54+T54+U54</f>
        <v>7584</v>
      </c>
      <c r="J54" s="11">
        <v>0</v>
      </c>
      <c r="K54" s="12">
        <v>3024</v>
      </c>
      <c r="L54" s="12">
        <v>1000</v>
      </c>
      <c r="M54" s="12">
        <v>1000</v>
      </c>
      <c r="N54" s="12">
        <v>0</v>
      </c>
      <c r="O54" s="12">
        <v>200</v>
      </c>
      <c r="P54" s="12">
        <v>0</v>
      </c>
      <c r="Q54" s="12">
        <v>0</v>
      </c>
      <c r="R54" s="12">
        <v>1000</v>
      </c>
      <c r="S54" s="12">
        <v>1000</v>
      </c>
      <c r="T54" s="12">
        <v>0</v>
      </c>
      <c r="U54" s="12">
        <v>360</v>
      </c>
      <c r="V54" s="3"/>
      <c r="W54" s="3"/>
      <c r="X54" s="3"/>
      <c r="Y54" s="3"/>
      <c r="Z54" s="3"/>
      <c r="AA54" s="3"/>
      <c r="AB54" s="3"/>
      <c r="AC54" s="3"/>
      <c r="AD54" s="3"/>
    </row>
    <row r="55" spans="1:30" ht="39" hidden="1" customHeight="1">
      <c r="A55" s="167"/>
      <c r="B55" s="170"/>
      <c r="C55" s="170"/>
      <c r="D55" s="181"/>
      <c r="E55" s="5"/>
      <c r="F55" s="6" t="s">
        <v>3</v>
      </c>
      <c r="G55" s="7"/>
      <c r="H55" s="7"/>
      <c r="I55" s="7">
        <f>J55+K55+L55+M55+N55+O55+P55+Q55+R55+S55+T55+U55</f>
        <v>0</v>
      </c>
      <c r="J55" s="9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3"/>
      <c r="W55" s="3"/>
      <c r="X55" s="3"/>
      <c r="Y55" s="3"/>
      <c r="Z55" s="3"/>
      <c r="AA55" s="3"/>
      <c r="AB55" s="3"/>
      <c r="AC55" s="3"/>
      <c r="AD55" s="3"/>
    </row>
    <row r="56" spans="1:30" ht="39" hidden="1" customHeight="1">
      <c r="A56" s="167"/>
      <c r="B56" s="170"/>
      <c r="C56" s="170"/>
      <c r="D56" s="181"/>
      <c r="E56" s="5"/>
      <c r="F56" s="6">
        <v>324</v>
      </c>
      <c r="G56" s="7">
        <v>11236</v>
      </c>
      <c r="H56" s="7"/>
      <c r="I56" s="7">
        <f>J56+K56+L56+M56+N56+O56+P56+Q56+R56+S56+T56+U56</f>
        <v>11236</v>
      </c>
      <c r="J56" s="20">
        <f>1000-1000</f>
        <v>0</v>
      </c>
      <c r="K56" s="21">
        <f>1000+1000</f>
        <v>2000</v>
      </c>
      <c r="L56" s="21">
        <v>1000</v>
      </c>
      <c r="M56" s="21">
        <v>1000</v>
      </c>
      <c r="N56" s="21">
        <v>1000</v>
      </c>
      <c r="O56" s="21">
        <v>1000</v>
      </c>
      <c r="P56" s="21">
        <v>783</v>
      </c>
      <c r="Q56" s="21">
        <v>1000</v>
      </c>
      <c r="R56" s="21">
        <v>1000</v>
      </c>
      <c r="S56" s="21">
        <v>1000</v>
      </c>
      <c r="T56" s="21">
        <v>1000</v>
      </c>
      <c r="U56" s="21">
        <f>1000-547</f>
        <v>453</v>
      </c>
      <c r="V56" s="3"/>
      <c r="W56" s="3"/>
      <c r="X56" s="3"/>
      <c r="Y56" s="3"/>
      <c r="Z56" s="3"/>
      <c r="AA56" s="3"/>
      <c r="AB56" s="3"/>
      <c r="AC56" s="3"/>
      <c r="AD56" s="3"/>
    </row>
    <row r="57" spans="1:30" ht="39" customHeight="1">
      <c r="A57" s="167"/>
      <c r="B57" s="170"/>
      <c r="C57" s="170"/>
      <c r="D57" s="181"/>
      <c r="E57" s="5">
        <f>E52+1</f>
        <v>10</v>
      </c>
      <c r="F57" s="6" t="s">
        <v>34</v>
      </c>
      <c r="G57" s="7">
        <f>G58+G59+G60+G61</f>
        <v>83842</v>
      </c>
      <c r="H57" s="7">
        <v>133324</v>
      </c>
      <c r="I57" s="7">
        <f>I58</f>
        <v>49236</v>
      </c>
      <c r="J57" s="8">
        <f t="shared" ref="J57:U57" si="9">J58+J59+J60+J61</f>
        <v>6364</v>
      </c>
      <c r="K57" s="7">
        <f t="shared" si="9"/>
        <v>14784</v>
      </c>
      <c r="L57" s="7">
        <f t="shared" si="9"/>
        <v>7761</v>
      </c>
      <c r="M57" s="7">
        <f t="shared" si="9"/>
        <v>7676</v>
      </c>
      <c r="N57" s="7">
        <f t="shared" si="9"/>
        <v>9052</v>
      </c>
      <c r="O57" s="7">
        <f t="shared" si="9"/>
        <v>9051</v>
      </c>
      <c r="P57" s="7">
        <f t="shared" si="9"/>
        <v>9051</v>
      </c>
      <c r="Q57" s="7">
        <f t="shared" si="9"/>
        <v>7643</v>
      </c>
      <c r="R57" s="7">
        <f t="shared" si="9"/>
        <v>2685</v>
      </c>
      <c r="S57" s="7">
        <f t="shared" si="9"/>
        <v>2685</v>
      </c>
      <c r="T57" s="7">
        <f t="shared" si="9"/>
        <v>3613</v>
      </c>
      <c r="U57" s="7">
        <f t="shared" si="9"/>
        <v>2543</v>
      </c>
      <c r="V57" s="182" t="s">
        <v>5</v>
      </c>
      <c r="W57" s="183"/>
      <c r="X57" s="184"/>
      <c r="Y57" s="182">
        <v>49236</v>
      </c>
      <c r="Z57" s="183"/>
      <c r="AA57" s="183"/>
      <c r="AB57" s="183"/>
      <c r="AC57" s="183"/>
      <c r="AD57" s="184"/>
    </row>
    <row r="58" spans="1:30" ht="39" customHeight="1">
      <c r="A58" s="167"/>
      <c r="B58" s="170"/>
      <c r="C58" s="170"/>
      <c r="D58" s="181"/>
      <c r="E58" s="5"/>
      <c r="F58" s="6" t="s">
        <v>5</v>
      </c>
      <c r="G58" s="7">
        <v>49236</v>
      </c>
      <c r="H58" s="7"/>
      <c r="I58" s="7">
        <f>J58+K58+L58+M58+N58+O58+P58+Q58+R58+S58+T58+U58</f>
        <v>49236</v>
      </c>
      <c r="J58" s="9"/>
      <c r="K58" s="10">
        <v>12734</v>
      </c>
      <c r="L58" s="10">
        <v>5808</v>
      </c>
      <c r="M58" s="10">
        <v>5996</v>
      </c>
      <c r="N58" s="10">
        <v>6367</v>
      </c>
      <c r="O58" s="10">
        <v>5485</v>
      </c>
      <c r="P58" s="10">
        <v>7127</v>
      </c>
      <c r="Q58" s="10">
        <f>7128-1409</f>
        <v>5719</v>
      </c>
      <c r="R58" s="10"/>
      <c r="S58" s="10"/>
      <c r="T58" s="10"/>
      <c r="U58" s="10"/>
      <c r="V58" s="182"/>
      <c r="W58" s="183"/>
      <c r="X58" s="184"/>
      <c r="Y58" s="182"/>
      <c r="Z58" s="183"/>
      <c r="AA58" s="183"/>
      <c r="AB58" s="183"/>
      <c r="AC58" s="183"/>
      <c r="AD58" s="184"/>
    </row>
    <row r="59" spans="1:30" ht="39" hidden="1" customHeight="1">
      <c r="A59" s="167"/>
      <c r="B59" s="170"/>
      <c r="C59" s="170"/>
      <c r="D59" s="181"/>
      <c r="E59" s="5"/>
      <c r="F59" s="6" t="s">
        <v>27</v>
      </c>
      <c r="G59" s="7">
        <v>14801</v>
      </c>
      <c r="H59" s="7"/>
      <c r="I59" s="7">
        <f>J59+K59+L59+M59+N59+O59+P59+Q59+R59+S59+T59+U59</f>
        <v>13867</v>
      </c>
      <c r="J59" s="11">
        <v>0</v>
      </c>
      <c r="K59" s="12">
        <v>2050</v>
      </c>
      <c r="L59" s="12">
        <v>1953</v>
      </c>
      <c r="M59" s="12">
        <v>1400</v>
      </c>
      <c r="N59" s="12">
        <v>1025</v>
      </c>
      <c r="O59" s="12">
        <v>1906</v>
      </c>
      <c r="P59" s="12">
        <v>264</v>
      </c>
      <c r="Q59" s="12">
        <v>264</v>
      </c>
      <c r="R59" s="12">
        <v>1025</v>
      </c>
      <c r="S59" s="12">
        <v>1025</v>
      </c>
      <c r="T59" s="12">
        <v>1953</v>
      </c>
      <c r="U59" s="14">
        <v>1002</v>
      </c>
      <c r="V59" s="3"/>
      <c r="W59" s="3"/>
      <c r="X59" s="3"/>
      <c r="Y59" s="3"/>
      <c r="Z59" s="3"/>
      <c r="AA59" s="3"/>
      <c r="AB59" s="3"/>
      <c r="AC59" s="3"/>
      <c r="AD59" s="3"/>
    </row>
    <row r="60" spans="1:30" ht="39" hidden="1" customHeight="1">
      <c r="A60" s="167"/>
      <c r="B60" s="170"/>
      <c r="C60" s="170"/>
      <c r="D60" s="181"/>
      <c r="E60" s="5"/>
      <c r="F60" s="6" t="s">
        <v>3</v>
      </c>
      <c r="G60" s="7"/>
      <c r="H60" s="7"/>
      <c r="I60" s="7">
        <f>J60+K60+L60+M60+N60+O60+P60+Q60+R60+S60+T60+U60</f>
        <v>0</v>
      </c>
      <c r="J60" s="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3"/>
      <c r="W60" s="3"/>
      <c r="X60" s="3"/>
      <c r="Y60" s="3"/>
      <c r="Z60" s="3"/>
      <c r="AA60" s="3"/>
      <c r="AB60" s="3"/>
      <c r="AC60" s="3"/>
      <c r="AD60" s="3"/>
    </row>
    <row r="61" spans="1:30" ht="39" hidden="1" customHeight="1">
      <c r="A61" s="167"/>
      <c r="B61" s="170"/>
      <c r="C61" s="170"/>
      <c r="D61" s="181"/>
      <c r="E61" s="5"/>
      <c r="F61" s="6">
        <v>324</v>
      </c>
      <c r="G61" s="7">
        <v>19805</v>
      </c>
      <c r="H61" s="7"/>
      <c r="I61" s="7">
        <f>J61+K61+L61+M61+N61+O61+P61+Q61+R61+S61+T61+U61</f>
        <v>19805</v>
      </c>
      <c r="J61" s="16">
        <f>1664+4700</f>
        <v>6364</v>
      </c>
      <c r="K61" s="17">
        <f>1660-1660</f>
        <v>0</v>
      </c>
      <c r="L61" s="17">
        <f>1660-1660</f>
        <v>0</v>
      </c>
      <c r="M61" s="17">
        <f>1660-1380</f>
        <v>280</v>
      </c>
      <c r="N61" s="17">
        <v>1660</v>
      </c>
      <c r="O61" s="17">
        <v>1660</v>
      </c>
      <c r="P61" s="17">
        <v>1660</v>
      </c>
      <c r="Q61" s="17">
        <v>1660</v>
      </c>
      <c r="R61" s="17">
        <v>1660</v>
      </c>
      <c r="S61" s="17">
        <v>1660</v>
      </c>
      <c r="T61" s="17">
        <v>1660</v>
      </c>
      <c r="U61" s="17">
        <f>1660-119</f>
        <v>1541</v>
      </c>
      <c r="V61" s="3"/>
      <c r="W61" s="3"/>
      <c r="X61" s="3"/>
      <c r="Y61" s="3"/>
      <c r="Z61" s="3"/>
      <c r="AA61" s="3"/>
      <c r="AB61" s="3"/>
      <c r="AC61" s="3"/>
      <c r="AD61" s="3"/>
    </row>
    <row r="62" spans="1:30" ht="39" customHeight="1">
      <c r="A62" s="167"/>
      <c r="B62" s="170"/>
      <c r="C62" s="170"/>
      <c r="D62" s="181"/>
      <c r="E62" s="5">
        <f>E57+1</f>
        <v>11</v>
      </c>
      <c r="F62" s="6" t="s">
        <v>33</v>
      </c>
      <c r="G62" s="7">
        <f>G63+G64+G65+G66</f>
        <v>74274</v>
      </c>
      <c r="H62" s="7">
        <v>135483</v>
      </c>
      <c r="I62" s="7">
        <f>I63</f>
        <v>43381.700000000004</v>
      </c>
      <c r="J62" s="8">
        <f t="shared" ref="J62:U62" si="10">J63+J64+J65+J66</f>
        <v>7070</v>
      </c>
      <c r="K62" s="7">
        <f t="shared" si="10"/>
        <v>20952</v>
      </c>
      <c r="L62" s="7">
        <f t="shared" si="10"/>
        <v>9983</v>
      </c>
      <c r="M62" s="7">
        <f t="shared" si="10"/>
        <v>7817</v>
      </c>
      <c r="N62" s="7">
        <f t="shared" si="10"/>
        <v>8651</v>
      </c>
      <c r="O62" s="7">
        <f t="shared" si="10"/>
        <v>9694</v>
      </c>
      <c r="P62" s="7">
        <f t="shared" si="10"/>
        <v>2599</v>
      </c>
      <c r="Q62" s="7">
        <f t="shared" si="10"/>
        <v>4714</v>
      </c>
      <c r="R62" s="7">
        <f t="shared" si="10"/>
        <v>754</v>
      </c>
      <c r="S62" s="7">
        <f t="shared" si="10"/>
        <v>2040</v>
      </c>
      <c r="T62" s="7">
        <f t="shared" si="10"/>
        <v>0</v>
      </c>
      <c r="U62" s="7">
        <f t="shared" si="10"/>
        <v>0</v>
      </c>
      <c r="V62" s="182" t="s">
        <v>5</v>
      </c>
      <c r="W62" s="183"/>
      <c r="X62" s="184"/>
      <c r="Y62" s="182">
        <v>43381.700000000004</v>
      </c>
      <c r="Z62" s="183"/>
      <c r="AA62" s="183"/>
      <c r="AB62" s="183"/>
      <c r="AC62" s="183"/>
      <c r="AD62" s="184"/>
    </row>
    <row r="63" spans="1:30" ht="39" customHeight="1">
      <c r="A63" s="167"/>
      <c r="B63" s="170"/>
      <c r="C63" s="170"/>
      <c r="D63" s="181"/>
      <c r="E63" s="5"/>
      <c r="F63" s="6" t="s">
        <v>5</v>
      </c>
      <c r="G63" s="7">
        <v>43382</v>
      </c>
      <c r="H63" s="7"/>
      <c r="I63" s="7">
        <f>J63+K63+L63+M63+N63+O63+P63+Q63+R63+S63+T63+U63</f>
        <v>43381.700000000004</v>
      </c>
      <c r="J63" s="9">
        <v>0</v>
      </c>
      <c r="K63" s="10">
        <v>15392.4</v>
      </c>
      <c r="L63" s="10">
        <v>7157.4</v>
      </c>
      <c r="M63" s="10">
        <v>6607</v>
      </c>
      <c r="N63" s="10">
        <v>6581</v>
      </c>
      <c r="O63" s="10">
        <f>15171-7547</f>
        <v>7624</v>
      </c>
      <c r="P63" s="10">
        <f>20</f>
        <v>20</v>
      </c>
      <c r="Q63" s="10">
        <v>-0.1000000000003638</v>
      </c>
      <c r="R63" s="10">
        <v>0</v>
      </c>
      <c r="S63" s="10">
        <v>0</v>
      </c>
      <c r="T63" s="10">
        <v>0</v>
      </c>
      <c r="U63" s="10">
        <v>0</v>
      </c>
      <c r="V63" s="182"/>
      <c r="W63" s="183"/>
      <c r="X63" s="184"/>
      <c r="Y63" s="182"/>
      <c r="Z63" s="183"/>
      <c r="AA63" s="183"/>
      <c r="AB63" s="183"/>
      <c r="AC63" s="183"/>
      <c r="AD63" s="184"/>
    </row>
    <row r="64" spans="1:30" ht="39" hidden="1" customHeight="1">
      <c r="A64" s="167"/>
      <c r="B64" s="170"/>
      <c r="C64" s="170"/>
      <c r="D64" s="181"/>
      <c r="E64" s="5"/>
      <c r="F64" s="6" t="s">
        <v>27</v>
      </c>
      <c r="G64" s="7">
        <v>13578</v>
      </c>
      <c r="H64" s="7"/>
      <c r="I64" s="7">
        <f>J64+K64+L64+M64+N64+O64+P64+Q64+R64+S64+T64+U64</f>
        <v>13578.300000000001</v>
      </c>
      <c r="J64" s="11">
        <v>0</v>
      </c>
      <c r="K64" s="12">
        <v>5559.6</v>
      </c>
      <c r="L64" s="12">
        <v>2825.6000000000004</v>
      </c>
      <c r="M64" s="12">
        <v>0</v>
      </c>
      <c r="N64" s="12">
        <v>0</v>
      </c>
      <c r="O64" s="12">
        <v>0</v>
      </c>
      <c r="P64" s="12">
        <v>509</v>
      </c>
      <c r="Q64" s="12">
        <f>4192.1-1548</f>
        <v>2644.1000000000004</v>
      </c>
      <c r="R64" s="12">
        <v>0</v>
      </c>
      <c r="S64" s="12">
        <f>4575-4575+2040</f>
        <v>2040</v>
      </c>
      <c r="T64" s="12">
        <v>0</v>
      </c>
      <c r="U64" s="12">
        <v>0</v>
      </c>
      <c r="V64" s="3"/>
      <c r="W64" s="3"/>
      <c r="X64" s="3"/>
      <c r="Y64" s="3"/>
      <c r="Z64" s="3"/>
      <c r="AA64" s="3"/>
      <c r="AB64" s="3"/>
      <c r="AC64" s="3"/>
      <c r="AD64" s="3"/>
    </row>
    <row r="65" spans="1:30" ht="39" hidden="1" customHeight="1">
      <c r="A65" s="167"/>
      <c r="B65" s="170"/>
      <c r="C65" s="170"/>
      <c r="D65" s="181"/>
      <c r="E65" s="5"/>
      <c r="F65" s="6" t="s">
        <v>3</v>
      </c>
      <c r="G65" s="7"/>
      <c r="H65" s="7"/>
      <c r="I65" s="7">
        <f>J65+K65+L65+M65+N65+O65+P65+Q65+R65+S65+T65+U65</f>
        <v>0</v>
      </c>
      <c r="J65" s="9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3"/>
      <c r="W65" s="3"/>
      <c r="X65" s="3"/>
      <c r="Y65" s="3"/>
      <c r="Z65" s="3"/>
      <c r="AA65" s="3"/>
      <c r="AB65" s="3"/>
      <c r="AC65" s="3"/>
      <c r="AD65" s="3"/>
    </row>
    <row r="66" spans="1:30" ht="39" hidden="1" customHeight="1">
      <c r="A66" s="167"/>
      <c r="B66" s="170"/>
      <c r="C66" s="170"/>
      <c r="D66" s="181"/>
      <c r="E66" s="5"/>
      <c r="F66" s="6">
        <v>324</v>
      </c>
      <c r="G66" s="7">
        <v>17314</v>
      </c>
      <c r="H66" s="7"/>
      <c r="I66" s="7">
        <f>J66+K66+L66+M66+N66+O66+P66+Q66+R66+S66+T66+U66</f>
        <v>17314</v>
      </c>
      <c r="J66" s="20">
        <f>2070+5000</f>
        <v>7070</v>
      </c>
      <c r="K66" s="21">
        <f>2070-2070</f>
        <v>0</v>
      </c>
      <c r="L66" s="21">
        <f>2070-2070</f>
        <v>0</v>
      </c>
      <c r="M66" s="21">
        <f>2070-860</f>
        <v>1210</v>
      </c>
      <c r="N66" s="21">
        <v>2070</v>
      </c>
      <c r="O66" s="21">
        <v>2070</v>
      </c>
      <c r="P66" s="21">
        <v>2070</v>
      </c>
      <c r="Q66" s="21">
        <v>2070</v>
      </c>
      <c r="R66" s="21">
        <f>2070-1316</f>
        <v>754</v>
      </c>
      <c r="S66" s="21"/>
      <c r="T66" s="21"/>
      <c r="U66" s="21"/>
      <c r="V66" s="3"/>
      <c r="W66" s="3"/>
      <c r="X66" s="3"/>
      <c r="Y66" s="3"/>
      <c r="Z66" s="3"/>
      <c r="AA66" s="3"/>
      <c r="AB66" s="3"/>
      <c r="AC66" s="3"/>
      <c r="AD66" s="3"/>
    </row>
    <row r="67" spans="1:30" ht="39" customHeight="1">
      <c r="A67" s="167"/>
      <c r="B67" s="170"/>
      <c r="C67" s="170"/>
      <c r="D67" s="181"/>
      <c r="E67" s="5">
        <f>E62+1</f>
        <v>12</v>
      </c>
      <c r="F67" s="6" t="s">
        <v>32</v>
      </c>
      <c r="G67" s="7">
        <f>G68+G69+G70+G71</f>
        <v>247467</v>
      </c>
      <c r="H67" s="7">
        <v>345758</v>
      </c>
      <c r="I67" s="7">
        <f>I68</f>
        <v>133766.9</v>
      </c>
      <c r="J67" s="8">
        <f t="shared" ref="J67:U67" si="11">J68+J69+J70+J71</f>
        <v>0</v>
      </c>
      <c r="K67" s="7">
        <f t="shared" si="11"/>
        <v>44310</v>
      </c>
      <c r="L67" s="7">
        <f t="shared" si="11"/>
        <v>21148</v>
      </c>
      <c r="M67" s="7">
        <f t="shared" si="11"/>
        <v>21276</v>
      </c>
      <c r="N67" s="7">
        <f t="shared" si="11"/>
        <v>21148</v>
      </c>
      <c r="O67" s="7">
        <f t="shared" si="11"/>
        <v>25248.9</v>
      </c>
      <c r="P67" s="7">
        <f t="shared" si="11"/>
        <v>43241</v>
      </c>
      <c r="Q67" s="7">
        <f t="shared" si="11"/>
        <v>4949</v>
      </c>
      <c r="R67" s="7">
        <f t="shared" si="11"/>
        <v>16424</v>
      </c>
      <c r="S67" s="7">
        <f t="shared" si="11"/>
        <v>16421</v>
      </c>
      <c r="T67" s="7">
        <f t="shared" si="11"/>
        <v>9979</v>
      </c>
      <c r="U67" s="7">
        <f t="shared" si="11"/>
        <v>3447</v>
      </c>
      <c r="V67" s="182" t="s">
        <v>5</v>
      </c>
      <c r="W67" s="183"/>
      <c r="X67" s="184"/>
      <c r="Y67" s="182">
        <v>133766.9</v>
      </c>
      <c r="Z67" s="183"/>
      <c r="AA67" s="183"/>
      <c r="AB67" s="183"/>
      <c r="AC67" s="183"/>
      <c r="AD67" s="184"/>
    </row>
    <row r="68" spans="1:30" ht="39" customHeight="1">
      <c r="A68" s="167"/>
      <c r="B68" s="170"/>
      <c r="C68" s="170"/>
      <c r="D68" s="181"/>
      <c r="E68" s="5"/>
      <c r="F68" s="6" t="s">
        <v>5</v>
      </c>
      <c r="G68" s="7">
        <v>152312</v>
      </c>
      <c r="H68" s="7"/>
      <c r="I68" s="7">
        <f>J68+K68+L68+M68+N68+O68+P68+Q68+R68+S68+T68+U68</f>
        <v>133766.9</v>
      </c>
      <c r="J68" s="9"/>
      <c r="K68" s="10">
        <v>23166</v>
      </c>
      <c r="L68" s="10">
        <v>11583</v>
      </c>
      <c r="M68" s="10">
        <v>11711</v>
      </c>
      <c r="N68" s="10">
        <v>11583</v>
      </c>
      <c r="O68" s="10">
        <v>14082.9</v>
      </c>
      <c r="P68" s="10">
        <v>30741</v>
      </c>
      <c r="Q68" s="10">
        <v>4949</v>
      </c>
      <c r="R68" s="10">
        <v>10024</v>
      </c>
      <c r="S68" s="10">
        <v>10024</v>
      </c>
      <c r="T68" s="10">
        <v>5903</v>
      </c>
      <c r="U68" s="10">
        <v>0</v>
      </c>
      <c r="V68" s="182"/>
      <c r="W68" s="183"/>
      <c r="X68" s="184"/>
      <c r="Y68" s="182"/>
      <c r="Z68" s="183"/>
      <c r="AA68" s="183"/>
      <c r="AB68" s="183"/>
      <c r="AC68" s="183"/>
      <c r="AD68" s="184"/>
    </row>
    <row r="69" spans="1:30" ht="39" hidden="1" customHeight="1">
      <c r="A69" s="167"/>
      <c r="B69" s="170"/>
      <c r="C69" s="170"/>
      <c r="D69" s="181"/>
      <c r="E69" s="5"/>
      <c r="F69" s="6" t="s">
        <v>27</v>
      </c>
      <c r="G69" s="7">
        <v>39523</v>
      </c>
      <c r="H69" s="7"/>
      <c r="I69" s="7">
        <f>J69+K69+L69+M69+N69+O69+P69+Q69+R69+S69+T69+U69</f>
        <v>38193</v>
      </c>
      <c r="J69" s="9">
        <v>0</v>
      </c>
      <c r="K69" s="10">
        <v>8944</v>
      </c>
      <c r="L69" s="10">
        <v>3465</v>
      </c>
      <c r="M69" s="10">
        <v>3465</v>
      </c>
      <c r="N69" s="10">
        <v>3465</v>
      </c>
      <c r="O69" s="10">
        <v>5066</v>
      </c>
      <c r="P69" s="10">
        <v>0</v>
      </c>
      <c r="Q69" s="10">
        <v>0</v>
      </c>
      <c r="R69" s="10">
        <v>3447</v>
      </c>
      <c r="S69" s="10">
        <v>3447</v>
      </c>
      <c r="T69" s="10">
        <v>3447</v>
      </c>
      <c r="U69" s="10">
        <v>3447</v>
      </c>
      <c r="V69" s="3"/>
      <c r="W69" s="3"/>
      <c r="X69" s="3"/>
      <c r="Y69" s="3"/>
      <c r="Z69" s="3"/>
      <c r="AA69" s="3"/>
      <c r="AB69" s="3"/>
      <c r="AC69" s="3"/>
      <c r="AD69" s="3"/>
    </row>
    <row r="70" spans="1:30" ht="39" hidden="1" customHeight="1">
      <c r="A70" s="167"/>
      <c r="B70" s="170"/>
      <c r="C70" s="170"/>
      <c r="D70" s="181"/>
      <c r="E70" s="5"/>
      <c r="F70" s="6" t="s">
        <v>3</v>
      </c>
      <c r="G70" s="7"/>
      <c r="H70" s="7"/>
      <c r="I70" s="7">
        <f>J70+K70+L70+M70+N70+O70+P70+Q70+R70+S70+T70+U70</f>
        <v>0</v>
      </c>
      <c r="J70" s="9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3"/>
      <c r="W70" s="3"/>
      <c r="X70" s="3"/>
      <c r="Y70" s="3"/>
      <c r="Z70" s="3"/>
      <c r="AA70" s="3"/>
      <c r="AB70" s="3"/>
      <c r="AC70" s="3"/>
      <c r="AD70" s="3"/>
    </row>
    <row r="71" spans="1:30" ht="39" hidden="1" customHeight="1">
      <c r="A71" s="167"/>
      <c r="B71" s="170"/>
      <c r="C71" s="170"/>
      <c r="D71" s="181"/>
      <c r="E71" s="5"/>
      <c r="F71" s="6">
        <v>324</v>
      </c>
      <c r="G71" s="7">
        <v>55632</v>
      </c>
      <c r="H71" s="7"/>
      <c r="I71" s="7">
        <f>J71+K71+L71+M71+N71+O71+P71+Q71+R71+S71+T71+U71</f>
        <v>55632</v>
      </c>
      <c r="J71" s="16">
        <f>6100-6100</f>
        <v>0</v>
      </c>
      <c r="K71" s="17">
        <f>6100+6100</f>
        <v>12200</v>
      </c>
      <c r="L71" s="17">
        <v>6100</v>
      </c>
      <c r="M71" s="17">
        <v>6100</v>
      </c>
      <c r="N71" s="17">
        <v>6100</v>
      </c>
      <c r="O71" s="17">
        <v>6100</v>
      </c>
      <c r="P71" s="17">
        <v>12500</v>
      </c>
      <c r="Q71" s="17"/>
      <c r="R71" s="17">
        <v>2953</v>
      </c>
      <c r="S71" s="17">
        <v>2950</v>
      </c>
      <c r="T71" s="17">
        <f>2950-2321</f>
        <v>629</v>
      </c>
      <c r="U71" s="17">
        <f>2950-2950</f>
        <v>0</v>
      </c>
      <c r="V71" s="3"/>
      <c r="W71" s="3"/>
      <c r="X71" s="3"/>
      <c r="Y71" s="3"/>
      <c r="Z71" s="3"/>
      <c r="AA71" s="3"/>
      <c r="AB71" s="3"/>
      <c r="AC71" s="3"/>
      <c r="AD71" s="3"/>
    </row>
    <row r="72" spans="1:30" ht="39" customHeight="1">
      <c r="A72" s="167"/>
      <c r="B72" s="170"/>
      <c r="C72" s="170"/>
      <c r="D72" s="181"/>
      <c r="E72" s="5">
        <f>E67+1</f>
        <v>13</v>
      </c>
      <c r="F72" s="6" t="s">
        <v>31</v>
      </c>
      <c r="G72" s="7">
        <f>G73+G74+G75+G76</f>
        <v>193430</v>
      </c>
      <c r="H72" s="7">
        <v>284124</v>
      </c>
      <c r="I72" s="7">
        <f>I73</f>
        <v>128077</v>
      </c>
      <c r="J72" s="8">
        <f t="shared" ref="J72:U72" si="12">J73+J74+J75+J76</f>
        <v>0</v>
      </c>
      <c r="K72" s="7">
        <f t="shared" si="12"/>
        <v>49952</v>
      </c>
      <c r="L72" s="7">
        <f t="shared" si="12"/>
        <v>23695</v>
      </c>
      <c r="M72" s="7">
        <f t="shared" si="12"/>
        <v>23760</v>
      </c>
      <c r="N72" s="7">
        <f t="shared" si="12"/>
        <v>23695</v>
      </c>
      <c r="O72" s="7">
        <f t="shared" si="12"/>
        <v>42834</v>
      </c>
      <c r="P72" s="7">
        <f t="shared" si="12"/>
        <v>4000</v>
      </c>
      <c r="Q72" s="7">
        <f t="shared" si="12"/>
        <v>5586</v>
      </c>
      <c r="R72" s="7">
        <f t="shared" si="12"/>
        <v>5590</v>
      </c>
      <c r="S72" s="7">
        <f t="shared" si="12"/>
        <v>5586</v>
      </c>
      <c r="T72" s="7">
        <f t="shared" si="12"/>
        <v>5586</v>
      </c>
      <c r="U72" s="7">
        <f t="shared" si="12"/>
        <v>1976</v>
      </c>
      <c r="V72" s="182" t="s">
        <v>5</v>
      </c>
      <c r="W72" s="183"/>
      <c r="X72" s="184"/>
      <c r="Y72" s="182">
        <v>128077</v>
      </c>
      <c r="Z72" s="183"/>
      <c r="AA72" s="183"/>
      <c r="AB72" s="183"/>
      <c r="AC72" s="183"/>
      <c r="AD72" s="184"/>
    </row>
    <row r="73" spans="1:30" ht="39" customHeight="1">
      <c r="A73" s="167"/>
      <c r="B73" s="170"/>
      <c r="C73" s="170"/>
      <c r="D73" s="181"/>
      <c r="E73" s="5"/>
      <c r="F73" s="6" t="s">
        <v>5</v>
      </c>
      <c r="G73" s="7">
        <v>128077</v>
      </c>
      <c r="H73" s="7"/>
      <c r="I73" s="7">
        <f>J73+K73+L73+M73+N73+O73+P73+Q73+R73+S73+T73+U73</f>
        <v>128077</v>
      </c>
      <c r="J73" s="9">
        <v>0</v>
      </c>
      <c r="K73" s="10">
        <v>36218</v>
      </c>
      <c r="L73" s="10">
        <v>18109</v>
      </c>
      <c r="M73" s="10">
        <v>18174</v>
      </c>
      <c r="N73" s="10">
        <v>18109</v>
      </c>
      <c r="O73" s="10">
        <f>42709-5242</f>
        <v>37467</v>
      </c>
      <c r="P73" s="10">
        <f>18109-18109</f>
        <v>0</v>
      </c>
      <c r="Q73" s="10">
        <f>9482-9482</f>
        <v>0</v>
      </c>
      <c r="R73" s="10">
        <f>18174-18174</f>
        <v>0</v>
      </c>
      <c r="S73" s="10">
        <f>18109-18109</f>
        <v>0</v>
      </c>
      <c r="T73" s="10">
        <f>18109-18109</f>
        <v>0</v>
      </c>
      <c r="U73" s="10">
        <f>18110-18110</f>
        <v>0</v>
      </c>
      <c r="V73" s="182"/>
      <c r="W73" s="183"/>
      <c r="X73" s="184"/>
      <c r="Y73" s="182"/>
      <c r="Z73" s="183"/>
      <c r="AA73" s="183"/>
      <c r="AB73" s="183"/>
      <c r="AC73" s="183"/>
      <c r="AD73" s="184"/>
    </row>
    <row r="74" spans="1:30" ht="39" hidden="1" customHeight="1">
      <c r="A74" s="167"/>
      <c r="B74" s="170"/>
      <c r="C74" s="170"/>
      <c r="D74" s="181"/>
      <c r="E74" s="5"/>
      <c r="F74" s="6" t="s">
        <v>27</v>
      </c>
      <c r="G74" s="7">
        <v>20963</v>
      </c>
      <c r="H74" s="7"/>
      <c r="I74" s="7">
        <f>J74+K74+L74+M74+N74+O74+P74+Q74+R74+S74+T74+U74</f>
        <v>19793</v>
      </c>
      <c r="J74" s="11">
        <v>0</v>
      </c>
      <c r="K74" s="12">
        <v>5734</v>
      </c>
      <c r="L74" s="12">
        <v>1586</v>
      </c>
      <c r="M74" s="12">
        <v>1586</v>
      </c>
      <c r="N74" s="12">
        <v>1586</v>
      </c>
      <c r="O74" s="12">
        <v>1367</v>
      </c>
      <c r="P74" s="12">
        <v>0</v>
      </c>
      <c r="Q74" s="12">
        <v>1586</v>
      </c>
      <c r="R74" s="12">
        <v>1590</v>
      </c>
      <c r="S74" s="12">
        <v>1586</v>
      </c>
      <c r="T74" s="12">
        <v>1586</v>
      </c>
      <c r="U74" s="12">
        <v>1586</v>
      </c>
      <c r="V74" s="3"/>
      <c r="W74" s="3"/>
      <c r="X74" s="3"/>
      <c r="Y74" s="3"/>
      <c r="Z74" s="3"/>
      <c r="AA74" s="3"/>
      <c r="AB74" s="3"/>
      <c r="AC74" s="3"/>
      <c r="AD74" s="3"/>
    </row>
    <row r="75" spans="1:30" ht="39" hidden="1" customHeight="1">
      <c r="A75" s="167"/>
      <c r="B75" s="170"/>
      <c r="C75" s="170"/>
      <c r="D75" s="181"/>
      <c r="E75" s="5"/>
      <c r="F75" s="6" t="s">
        <v>3</v>
      </c>
      <c r="G75" s="7"/>
      <c r="H75" s="7"/>
      <c r="I75" s="7">
        <f>J75+K75+L75+M75+N75+O75+P75+Q75+R75+S75+T75+U75</f>
        <v>0</v>
      </c>
      <c r="J75" s="9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3"/>
      <c r="W75" s="3"/>
      <c r="X75" s="3"/>
      <c r="Y75" s="3"/>
      <c r="Z75" s="3"/>
      <c r="AA75" s="3"/>
      <c r="AB75" s="3"/>
      <c r="AC75" s="3"/>
      <c r="AD75" s="3"/>
    </row>
    <row r="76" spans="1:30" ht="33" hidden="1" customHeight="1">
      <c r="A76" s="167"/>
      <c r="B76" s="170"/>
      <c r="C76" s="170"/>
      <c r="D76" s="181"/>
      <c r="E76" s="5"/>
      <c r="F76" s="6">
        <v>324</v>
      </c>
      <c r="G76" s="7">
        <v>44390</v>
      </c>
      <c r="H76" s="7"/>
      <c r="I76" s="7">
        <f>J76+K76+L76+M76+N76+O76+P76+Q76+R76+S76+T76+U76</f>
        <v>44390</v>
      </c>
      <c r="J76" s="27">
        <f>4000-4000</f>
        <v>0</v>
      </c>
      <c r="K76" s="28">
        <f>4000+4000</f>
        <v>8000</v>
      </c>
      <c r="L76" s="28">
        <v>4000</v>
      </c>
      <c r="M76" s="28">
        <v>4000</v>
      </c>
      <c r="N76" s="28">
        <v>4000</v>
      </c>
      <c r="O76" s="28">
        <v>4000</v>
      </c>
      <c r="P76" s="28">
        <v>4000</v>
      </c>
      <c r="Q76" s="28">
        <v>4000</v>
      </c>
      <c r="R76" s="28">
        <v>4000</v>
      </c>
      <c r="S76" s="28">
        <v>4000</v>
      </c>
      <c r="T76" s="28">
        <v>4000</v>
      </c>
      <c r="U76" s="28">
        <f>4000-3610</f>
        <v>390</v>
      </c>
      <c r="V76" s="3"/>
      <c r="W76" s="3"/>
      <c r="X76" s="3"/>
      <c r="Y76" s="3"/>
      <c r="Z76" s="3"/>
      <c r="AA76" s="3"/>
      <c r="AB76" s="3"/>
      <c r="AC76" s="3"/>
      <c r="AD76" s="3"/>
    </row>
    <row r="77" spans="1:30" ht="39.75" customHeight="1">
      <c r="A77" s="167"/>
      <c r="B77" s="170"/>
      <c r="C77" s="170"/>
      <c r="D77" s="181"/>
      <c r="E77" s="5">
        <f>E72+1</f>
        <v>14</v>
      </c>
      <c r="F77" s="6" t="s">
        <v>30</v>
      </c>
      <c r="G77" s="7">
        <f>G78+G79+G80+G81</f>
        <v>376073</v>
      </c>
      <c r="H77" s="7">
        <v>428334</v>
      </c>
      <c r="I77" s="7">
        <f>I78</f>
        <v>300621</v>
      </c>
      <c r="J77" s="8">
        <f t="shared" ref="J77:U77" si="13">J78+J79+J80+J81</f>
        <v>20377</v>
      </c>
      <c r="K77" s="7">
        <f t="shared" si="13"/>
        <v>55368</v>
      </c>
      <c r="L77" s="7">
        <f t="shared" si="13"/>
        <v>26511</v>
      </c>
      <c r="M77" s="7">
        <f t="shared" si="13"/>
        <v>29041</v>
      </c>
      <c r="N77" s="7">
        <f t="shared" si="13"/>
        <v>33454</v>
      </c>
      <c r="O77" s="7">
        <f t="shared" si="13"/>
        <v>37115</v>
      </c>
      <c r="P77" s="7">
        <f t="shared" si="13"/>
        <v>62924</v>
      </c>
      <c r="Q77" s="7">
        <f t="shared" si="13"/>
        <v>27242</v>
      </c>
      <c r="R77" s="7">
        <f t="shared" si="13"/>
        <v>29392</v>
      </c>
      <c r="S77" s="7">
        <f t="shared" si="13"/>
        <v>25765</v>
      </c>
      <c r="T77" s="7">
        <f t="shared" si="13"/>
        <v>19940</v>
      </c>
      <c r="U77" s="7">
        <f t="shared" si="13"/>
        <v>10075</v>
      </c>
      <c r="V77" s="182" t="s">
        <v>5</v>
      </c>
      <c r="W77" s="183"/>
      <c r="X77" s="184"/>
      <c r="Y77" s="182">
        <v>300621</v>
      </c>
      <c r="Z77" s="183"/>
      <c r="AA77" s="183"/>
      <c r="AB77" s="183"/>
      <c r="AC77" s="183"/>
      <c r="AD77" s="184"/>
    </row>
    <row r="78" spans="1:30" ht="23.25" customHeight="1">
      <c r="A78" s="167"/>
      <c r="B78" s="170"/>
      <c r="C78" s="170"/>
      <c r="D78" s="181"/>
      <c r="E78" s="5"/>
      <c r="F78" s="6" t="s">
        <v>5</v>
      </c>
      <c r="G78" s="7">
        <v>300621</v>
      </c>
      <c r="H78" s="7"/>
      <c r="I78" s="7">
        <f t="shared" ref="I78:I84" si="14">J78+K78+L78+M78+N78+O78+P78+Q78+R78+S78+T78+U78</f>
        <v>300621</v>
      </c>
      <c r="J78" s="9">
        <v>0</v>
      </c>
      <c r="K78" s="10">
        <v>50336</v>
      </c>
      <c r="L78" s="10">
        <v>25165</v>
      </c>
      <c r="M78" s="10">
        <v>25520</v>
      </c>
      <c r="N78" s="10">
        <v>24785</v>
      </c>
      <c r="O78" s="10">
        <v>26362</v>
      </c>
      <c r="P78" s="10">
        <v>62733</v>
      </c>
      <c r="Q78" s="10">
        <v>27051</v>
      </c>
      <c r="R78" s="10">
        <v>22832</v>
      </c>
      <c r="S78" s="10">
        <f>25668-6463</f>
        <v>19205</v>
      </c>
      <c r="T78" s="10">
        <v>13380</v>
      </c>
      <c r="U78" s="10">
        <v>3252</v>
      </c>
      <c r="V78" s="182"/>
      <c r="W78" s="183"/>
      <c r="X78" s="184"/>
      <c r="Y78" s="182"/>
      <c r="Z78" s="183"/>
      <c r="AA78" s="183"/>
      <c r="AB78" s="183"/>
      <c r="AC78" s="183"/>
      <c r="AD78" s="184"/>
    </row>
    <row r="79" spans="1:30" ht="23.25" hidden="1" customHeight="1">
      <c r="A79" s="167"/>
      <c r="B79" s="170"/>
      <c r="C79" s="170"/>
      <c r="D79" s="181"/>
      <c r="E79" s="5"/>
      <c r="F79" s="6" t="s">
        <v>27</v>
      </c>
      <c r="G79" s="7">
        <v>17423</v>
      </c>
      <c r="H79" s="7"/>
      <c r="I79" s="7">
        <f t="shared" si="14"/>
        <v>18554</v>
      </c>
      <c r="J79" s="11">
        <v>0</v>
      </c>
      <c r="K79" s="12">
        <v>5032</v>
      </c>
      <c r="L79" s="12">
        <v>1346</v>
      </c>
      <c r="M79" s="12">
        <v>1346</v>
      </c>
      <c r="N79" s="12">
        <v>3455</v>
      </c>
      <c r="O79" s="12">
        <v>1346</v>
      </c>
      <c r="P79" s="12">
        <v>191</v>
      </c>
      <c r="Q79" s="12">
        <v>191</v>
      </c>
      <c r="R79" s="12">
        <v>1346</v>
      </c>
      <c r="S79" s="12">
        <v>1346</v>
      </c>
      <c r="T79" s="12">
        <v>1346</v>
      </c>
      <c r="U79" s="12">
        <v>1609</v>
      </c>
      <c r="V79" s="3"/>
      <c r="W79" s="3"/>
      <c r="X79" s="3"/>
      <c r="Y79" s="3"/>
      <c r="Z79" s="3"/>
      <c r="AA79" s="3"/>
      <c r="AB79" s="3"/>
      <c r="AC79" s="3"/>
      <c r="AD79" s="3"/>
    </row>
    <row r="80" spans="1:30" ht="23.25" hidden="1" customHeight="1">
      <c r="A80" s="167"/>
      <c r="B80" s="170"/>
      <c r="C80" s="170"/>
      <c r="D80" s="181"/>
      <c r="E80" s="5"/>
      <c r="F80" s="6" t="s">
        <v>3</v>
      </c>
      <c r="G80" s="7"/>
      <c r="H80" s="7"/>
      <c r="I80" s="7">
        <f t="shared" si="14"/>
        <v>0</v>
      </c>
      <c r="J80" s="9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3"/>
      <c r="W80" s="3"/>
      <c r="X80" s="3"/>
      <c r="Y80" s="3"/>
      <c r="Z80" s="3"/>
      <c r="AA80" s="3"/>
      <c r="AB80" s="3"/>
      <c r="AC80" s="3"/>
      <c r="AD80" s="3"/>
    </row>
    <row r="81" spans="1:30" ht="23.25" hidden="1" customHeight="1">
      <c r="A81" s="167"/>
      <c r="B81" s="170"/>
      <c r="C81" s="170"/>
      <c r="D81" s="181"/>
      <c r="E81" s="5"/>
      <c r="F81" s="6">
        <v>324</v>
      </c>
      <c r="G81" s="7">
        <v>58029</v>
      </c>
      <c r="H81" s="7"/>
      <c r="I81" s="7">
        <f t="shared" si="14"/>
        <v>58029</v>
      </c>
      <c r="J81" s="20">
        <f>6761+13616</f>
        <v>20377</v>
      </c>
      <c r="K81" s="29">
        <f>5214+1416-6630</f>
        <v>0</v>
      </c>
      <c r="L81" s="29">
        <f>5214-5214</f>
        <v>0</v>
      </c>
      <c r="M81" s="29">
        <f>5214-3039</f>
        <v>2175</v>
      </c>
      <c r="N81" s="29">
        <v>5214</v>
      </c>
      <c r="O81" s="29">
        <f>15620-6213</f>
        <v>9407</v>
      </c>
      <c r="P81" s="29"/>
      <c r="Q81" s="29"/>
      <c r="R81" s="29">
        <v>5214</v>
      </c>
      <c r="S81" s="29">
        <v>5214</v>
      </c>
      <c r="T81" s="29">
        <v>5214</v>
      </c>
      <c r="U81" s="29">
        <v>5214</v>
      </c>
      <c r="V81" s="3"/>
      <c r="W81" s="3"/>
      <c r="X81" s="3"/>
      <c r="Y81" s="3"/>
      <c r="Z81" s="3"/>
      <c r="AA81" s="3"/>
      <c r="AB81" s="3"/>
      <c r="AC81" s="3"/>
      <c r="AD81" s="3"/>
    </row>
    <row r="82" spans="1:30" ht="23.25" hidden="1" customHeight="1">
      <c r="A82" s="167"/>
      <c r="B82" s="170"/>
      <c r="C82" s="170"/>
      <c r="D82" s="181"/>
      <c r="E82" s="127"/>
      <c r="F82" s="124" t="s">
        <v>27</v>
      </c>
      <c r="G82" s="125">
        <v>45839</v>
      </c>
      <c r="H82" s="125"/>
      <c r="I82" s="125">
        <f t="shared" si="14"/>
        <v>64627</v>
      </c>
      <c r="J82" s="30">
        <v>0</v>
      </c>
      <c r="K82" s="31">
        <v>13895</v>
      </c>
      <c r="L82" s="31">
        <v>4200</v>
      </c>
      <c r="M82" s="31">
        <v>4200</v>
      </c>
      <c r="N82" s="23">
        <v>4200</v>
      </c>
      <c r="O82" s="23">
        <v>11225</v>
      </c>
      <c r="P82" s="23">
        <v>4200</v>
      </c>
      <c r="Q82" s="23">
        <v>4200</v>
      </c>
      <c r="R82" s="23">
        <v>5907</v>
      </c>
      <c r="S82" s="23">
        <v>4200</v>
      </c>
      <c r="T82" s="23">
        <v>4200</v>
      </c>
      <c r="U82" s="23">
        <v>4200</v>
      </c>
      <c r="V82" s="3"/>
      <c r="W82" s="3"/>
      <c r="X82" s="3"/>
      <c r="Y82" s="3"/>
      <c r="Z82" s="3"/>
      <c r="AA82" s="3"/>
      <c r="AB82" s="3"/>
      <c r="AC82" s="3"/>
      <c r="AD82" s="3"/>
    </row>
    <row r="83" spans="1:30" ht="23.25" hidden="1" customHeight="1">
      <c r="A83" s="167"/>
      <c r="B83" s="170"/>
      <c r="C83" s="170"/>
      <c r="D83" s="181"/>
      <c r="E83" s="127"/>
      <c r="F83" s="124" t="s">
        <v>3</v>
      </c>
      <c r="G83" s="125"/>
      <c r="H83" s="125"/>
      <c r="I83" s="125">
        <f t="shared" si="14"/>
        <v>0</v>
      </c>
      <c r="J83" s="32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"/>
      <c r="W83" s="3"/>
      <c r="X83" s="3"/>
      <c r="Y83" s="3"/>
      <c r="Z83" s="3"/>
      <c r="AA83" s="3"/>
      <c r="AB83" s="3"/>
      <c r="AC83" s="3"/>
      <c r="AD83" s="3"/>
    </row>
    <row r="84" spans="1:30" ht="23.25" hidden="1" customHeight="1">
      <c r="A84" s="167"/>
      <c r="B84" s="170"/>
      <c r="C84" s="170"/>
      <c r="D84" s="181"/>
      <c r="E84" s="127"/>
      <c r="F84" s="124">
        <v>324</v>
      </c>
      <c r="G84" s="125">
        <v>140011</v>
      </c>
      <c r="H84" s="125"/>
      <c r="I84" s="125">
        <f t="shared" si="14"/>
        <v>214953</v>
      </c>
      <c r="J84" s="34">
        <f>18000-18000</f>
        <v>0</v>
      </c>
      <c r="K84" s="35">
        <f>18000+18000</f>
        <v>36000</v>
      </c>
      <c r="L84" s="35">
        <v>18000</v>
      </c>
      <c r="M84" s="35">
        <v>18000</v>
      </c>
      <c r="N84" s="35">
        <v>18000</v>
      </c>
      <c r="O84" s="35">
        <f>18000+9296</f>
        <v>27296</v>
      </c>
      <c r="P84" s="35">
        <v>16500</v>
      </c>
      <c r="Q84" s="35">
        <v>16500</v>
      </c>
      <c r="R84" s="35">
        <v>19953</v>
      </c>
      <c r="S84" s="35">
        <v>18000</v>
      </c>
      <c r="T84" s="35">
        <v>18000</v>
      </c>
      <c r="U84" s="35">
        <f>18000-9296</f>
        <v>8704</v>
      </c>
      <c r="V84" s="3"/>
      <c r="W84" s="3"/>
      <c r="X84" s="3"/>
      <c r="Y84" s="3"/>
      <c r="Z84" s="3"/>
      <c r="AA84" s="3"/>
      <c r="AB84" s="3"/>
      <c r="AC84" s="3"/>
      <c r="AD84" s="3"/>
    </row>
    <row r="85" spans="1:30" ht="40.5" customHeight="1">
      <c r="A85" s="167"/>
      <c r="B85" s="170"/>
      <c r="C85" s="170"/>
      <c r="D85" s="181"/>
      <c r="E85" s="5">
        <f>E77+1</f>
        <v>15</v>
      </c>
      <c r="F85" s="6" t="s">
        <v>28</v>
      </c>
      <c r="G85" s="7">
        <f>G86+G87+G88+G89</f>
        <v>95189</v>
      </c>
      <c r="H85" s="7">
        <v>229840</v>
      </c>
      <c r="I85" s="7">
        <f>I86</f>
        <v>70588</v>
      </c>
      <c r="J85" s="8">
        <f t="shared" ref="J85:U85" si="15">J86+J87+J88+J89</f>
        <v>11311</v>
      </c>
      <c r="K85" s="7">
        <f t="shared" si="15"/>
        <v>30258</v>
      </c>
      <c r="L85" s="7">
        <f t="shared" si="15"/>
        <v>14414</v>
      </c>
      <c r="M85" s="7">
        <f t="shared" si="15"/>
        <v>15988</v>
      </c>
      <c r="N85" s="7">
        <f t="shared" si="15"/>
        <v>19757</v>
      </c>
      <c r="O85" s="7">
        <f t="shared" si="15"/>
        <v>3024</v>
      </c>
      <c r="P85" s="7">
        <f t="shared" si="15"/>
        <v>0</v>
      </c>
      <c r="Q85" s="7">
        <f t="shared" si="15"/>
        <v>0</v>
      </c>
      <c r="R85" s="7">
        <f t="shared" si="15"/>
        <v>0</v>
      </c>
      <c r="S85" s="7">
        <f t="shared" si="15"/>
        <v>0</v>
      </c>
      <c r="T85" s="7">
        <f t="shared" si="15"/>
        <v>0</v>
      </c>
      <c r="U85" s="7">
        <f t="shared" si="15"/>
        <v>0</v>
      </c>
      <c r="V85" s="182" t="s">
        <v>5</v>
      </c>
      <c r="W85" s="183"/>
      <c r="X85" s="184"/>
      <c r="Y85" s="182">
        <v>70588</v>
      </c>
      <c r="Z85" s="183"/>
      <c r="AA85" s="183"/>
      <c r="AB85" s="183"/>
      <c r="AC85" s="183"/>
      <c r="AD85" s="184"/>
    </row>
    <row r="86" spans="1:30" ht="23.25" customHeight="1">
      <c r="A86" s="167"/>
      <c r="B86" s="170"/>
      <c r="C86" s="170"/>
      <c r="D86" s="181"/>
      <c r="E86" s="5"/>
      <c r="F86" s="6" t="s">
        <v>5</v>
      </c>
      <c r="G86" s="7">
        <v>70588</v>
      </c>
      <c r="H86" s="7"/>
      <c r="I86" s="7">
        <f>J86+K86+L86+M86+N86+O86+P86+Q86+R86+S86+T86+U86</f>
        <v>70588</v>
      </c>
      <c r="J86" s="9">
        <v>0</v>
      </c>
      <c r="K86" s="10">
        <v>27897</v>
      </c>
      <c r="L86" s="10">
        <v>13726</v>
      </c>
      <c r="M86" s="10">
        <v>13201</v>
      </c>
      <c r="N86" s="10">
        <v>15764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82"/>
      <c r="W86" s="183"/>
      <c r="X86" s="184"/>
      <c r="Y86" s="182"/>
      <c r="Z86" s="183"/>
      <c r="AA86" s="183"/>
      <c r="AB86" s="183"/>
      <c r="AC86" s="183"/>
      <c r="AD86" s="184"/>
    </row>
    <row r="87" spans="1:30" ht="23.25" hidden="1" customHeight="1">
      <c r="A87" s="167"/>
      <c r="B87" s="170"/>
      <c r="C87" s="170"/>
      <c r="D87" s="181"/>
      <c r="E87" s="5"/>
      <c r="F87" s="6" t="s">
        <v>27</v>
      </c>
      <c r="G87" s="7">
        <v>5400</v>
      </c>
      <c r="H87" s="7"/>
      <c r="I87" s="7">
        <f>J87+K87+L87+M87+N87+O87+P87+Q87+R87+S87+T87+U87</f>
        <v>4963</v>
      </c>
      <c r="J87" s="22">
        <v>0</v>
      </c>
      <c r="K87" s="23">
        <v>2361</v>
      </c>
      <c r="L87" s="23">
        <v>688</v>
      </c>
      <c r="M87" s="23">
        <v>637</v>
      </c>
      <c r="N87" s="23">
        <v>628</v>
      </c>
      <c r="O87" s="23">
        <v>649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3"/>
      <c r="W87" s="3"/>
      <c r="X87" s="3"/>
      <c r="Y87" s="3"/>
      <c r="Z87" s="3"/>
      <c r="AA87" s="3"/>
      <c r="AB87" s="3"/>
      <c r="AC87" s="3"/>
      <c r="AD87" s="3"/>
    </row>
    <row r="88" spans="1:30" ht="23.25" hidden="1" customHeight="1">
      <c r="A88" s="167"/>
      <c r="B88" s="170"/>
      <c r="C88" s="170"/>
      <c r="D88" s="181"/>
      <c r="E88" s="5"/>
      <c r="F88" s="6" t="s">
        <v>3</v>
      </c>
      <c r="G88" s="7"/>
      <c r="H88" s="7"/>
      <c r="I88" s="7">
        <f>J88+K88+L88+M88+N88+O88+P88+Q88+R88+S88+T88+U88</f>
        <v>0</v>
      </c>
      <c r="J88" s="22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3"/>
      <c r="W88" s="3"/>
      <c r="X88" s="3"/>
      <c r="Y88" s="3"/>
      <c r="Z88" s="3"/>
      <c r="AA88" s="3"/>
      <c r="AB88" s="3"/>
      <c r="AC88" s="3"/>
      <c r="AD88" s="3"/>
    </row>
    <row r="89" spans="1:30" ht="23.25" hidden="1" customHeight="1">
      <c r="A89" s="167"/>
      <c r="B89" s="170"/>
      <c r="C89" s="170"/>
      <c r="D89" s="181"/>
      <c r="E89" s="5"/>
      <c r="F89" s="6">
        <v>324</v>
      </c>
      <c r="G89" s="7">
        <v>19201</v>
      </c>
      <c r="H89" s="7"/>
      <c r="I89" s="7">
        <f>J89+K89+L89+M89+N89+O89+P89+Q89+R89+S89+T89+U89</f>
        <v>19201</v>
      </c>
      <c r="J89" s="36">
        <f>3949+7362</f>
        <v>11311</v>
      </c>
      <c r="K89" s="37">
        <f>3365-3365</f>
        <v>0</v>
      </c>
      <c r="L89" s="37">
        <f>3365-3365</f>
        <v>0</v>
      </c>
      <c r="M89" s="37">
        <f>3365-1215</f>
        <v>2150</v>
      </c>
      <c r="N89" s="37">
        <v>3365</v>
      </c>
      <c r="O89" s="37">
        <f>3365-990</f>
        <v>2375</v>
      </c>
      <c r="P89" s="17"/>
      <c r="Q89" s="17"/>
      <c r="R89" s="17"/>
      <c r="S89" s="17"/>
      <c r="T89" s="17"/>
      <c r="U89" s="17"/>
      <c r="V89" s="3"/>
      <c r="W89" s="3"/>
      <c r="X89" s="3"/>
      <c r="Y89" s="3"/>
      <c r="Z89" s="3"/>
      <c r="AA89" s="3"/>
      <c r="AB89" s="3"/>
      <c r="AC89" s="3"/>
      <c r="AD89" s="3"/>
    </row>
    <row r="90" spans="1:30" ht="64.5" customHeight="1">
      <c r="A90" s="167"/>
      <c r="B90" s="170"/>
      <c r="C90" s="170"/>
      <c r="D90" s="181"/>
      <c r="E90" s="5">
        <f>E85+1</f>
        <v>16</v>
      </c>
      <c r="F90" s="6" t="s">
        <v>26</v>
      </c>
      <c r="G90" s="7">
        <f>G91+G92+G93+G94</f>
        <v>164640</v>
      </c>
      <c r="H90" s="7">
        <v>376496</v>
      </c>
      <c r="I90" s="7">
        <f>I91</f>
        <v>115105</v>
      </c>
      <c r="J90" s="8">
        <f t="shared" ref="J90:U90" si="16">J91+J92+J93+J94</f>
        <v>0</v>
      </c>
      <c r="K90" s="7">
        <f t="shared" si="16"/>
        <v>90354</v>
      </c>
      <c r="L90" s="7">
        <f t="shared" si="16"/>
        <v>30770</v>
      </c>
      <c r="M90" s="7">
        <f t="shared" si="16"/>
        <v>29841</v>
      </c>
      <c r="N90" s="7">
        <f t="shared" si="16"/>
        <v>24916</v>
      </c>
      <c r="O90" s="7">
        <f t="shared" si="16"/>
        <v>17761</v>
      </c>
      <c r="P90" s="7">
        <f t="shared" si="16"/>
        <v>10771</v>
      </c>
      <c r="Q90" s="7">
        <f t="shared" si="16"/>
        <v>2359</v>
      </c>
      <c r="R90" s="7">
        <f t="shared" si="16"/>
        <v>20830</v>
      </c>
      <c r="S90" s="7">
        <f t="shared" si="16"/>
        <v>22774</v>
      </c>
      <c r="T90" s="7">
        <f t="shared" si="16"/>
        <v>9388</v>
      </c>
      <c r="U90" s="7">
        <f t="shared" si="16"/>
        <v>6283</v>
      </c>
      <c r="V90" s="182" t="s">
        <v>5</v>
      </c>
      <c r="W90" s="183"/>
      <c r="X90" s="184"/>
      <c r="Y90" s="182">
        <v>115105</v>
      </c>
      <c r="Z90" s="183"/>
      <c r="AA90" s="183"/>
      <c r="AB90" s="183"/>
      <c r="AC90" s="183"/>
      <c r="AD90" s="184"/>
    </row>
    <row r="91" spans="1:30" ht="23.25" customHeight="1">
      <c r="A91" s="167"/>
      <c r="B91" s="170"/>
      <c r="C91" s="170"/>
      <c r="D91" s="181"/>
      <c r="E91" s="5"/>
      <c r="F91" s="6" t="s">
        <v>5</v>
      </c>
      <c r="G91" s="7">
        <v>115105</v>
      </c>
      <c r="H91" s="7"/>
      <c r="I91" s="7">
        <f>J91+K91+L91+M91+N91+O91+P91+Q91+R91+S91+T91+U91</f>
        <v>115105</v>
      </c>
      <c r="J91" s="13">
        <v>0</v>
      </c>
      <c r="K91" s="14">
        <v>34402</v>
      </c>
      <c r="L91" s="14">
        <v>19793</v>
      </c>
      <c r="M91" s="14">
        <v>19793</v>
      </c>
      <c r="N91" s="14">
        <f>19793</f>
        <v>19793</v>
      </c>
      <c r="O91" s="14">
        <f>26660-14992</f>
        <v>11668</v>
      </c>
      <c r="P91" s="14">
        <v>8521</v>
      </c>
      <c r="Q91" s="14">
        <v>109</v>
      </c>
      <c r="R91" s="14">
        <v>109</v>
      </c>
      <c r="S91" s="14">
        <v>259</v>
      </c>
      <c r="T91" s="14">
        <v>399</v>
      </c>
      <c r="U91" s="14">
        <v>259</v>
      </c>
      <c r="V91" s="182"/>
      <c r="W91" s="183"/>
      <c r="X91" s="184"/>
      <c r="Y91" s="182"/>
      <c r="Z91" s="183"/>
      <c r="AA91" s="183"/>
      <c r="AB91" s="183"/>
      <c r="AC91" s="183"/>
      <c r="AD91" s="184"/>
    </row>
    <row r="92" spans="1:30" ht="23.25" hidden="1" customHeight="1">
      <c r="A92" s="167"/>
      <c r="B92" s="170"/>
      <c r="C92" s="170"/>
      <c r="D92" s="181"/>
      <c r="E92" s="5"/>
      <c r="F92" s="6" t="s">
        <v>4</v>
      </c>
      <c r="G92" s="7">
        <v>9504</v>
      </c>
      <c r="H92" s="7"/>
      <c r="I92" s="7">
        <f>J92+K92+L92+M92+N92+O92+P92+Q92+R92+S92+T92+U92</f>
        <v>9504</v>
      </c>
      <c r="J92" s="39"/>
      <c r="K92" s="38">
        <v>3920</v>
      </c>
      <c r="L92" s="38">
        <v>1050</v>
      </c>
      <c r="M92" s="38">
        <v>1050</v>
      </c>
      <c r="N92" s="38">
        <v>1050</v>
      </c>
      <c r="O92" s="38">
        <f>2692-758</f>
        <v>1934</v>
      </c>
      <c r="P92" s="38">
        <v>250</v>
      </c>
      <c r="Q92" s="38">
        <v>250</v>
      </c>
      <c r="R92" s="38"/>
      <c r="S92" s="38"/>
      <c r="T92" s="38"/>
      <c r="U92" s="38"/>
      <c r="V92" s="3"/>
      <c r="W92" s="3"/>
      <c r="X92" s="3"/>
      <c r="Y92" s="3"/>
      <c r="Z92" s="3"/>
      <c r="AA92" s="3"/>
      <c r="AB92" s="3"/>
      <c r="AC92" s="3"/>
      <c r="AD92" s="3"/>
    </row>
    <row r="93" spans="1:30" ht="23.25" hidden="1" customHeight="1">
      <c r="A93" s="167"/>
      <c r="B93" s="170"/>
      <c r="C93" s="170"/>
      <c r="D93" s="181"/>
      <c r="E93" s="5"/>
      <c r="F93" s="6" t="s">
        <v>25</v>
      </c>
      <c r="G93" s="7"/>
      <c r="H93" s="7"/>
      <c r="I93" s="7">
        <f>J93+K93+L93+M93+N93+O93+P93+Q93+R93+S93+T93+U93</f>
        <v>101407</v>
      </c>
      <c r="J93" s="13"/>
      <c r="K93" s="14">
        <v>43886</v>
      </c>
      <c r="L93" s="14">
        <v>5854</v>
      </c>
      <c r="M93" s="14">
        <v>4925</v>
      </c>
      <c r="N93" s="14">
        <v>0</v>
      </c>
      <c r="O93" s="14">
        <v>86</v>
      </c>
      <c r="P93" s="14">
        <v>0</v>
      </c>
      <c r="Q93" s="14">
        <v>0</v>
      </c>
      <c r="R93" s="14">
        <v>17648</v>
      </c>
      <c r="S93" s="14">
        <v>19442</v>
      </c>
      <c r="T93" s="14">
        <v>5122</v>
      </c>
      <c r="U93" s="14">
        <v>4444</v>
      </c>
      <c r="V93" s="3"/>
      <c r="W93" s="3"/>
      <c r="X93" s="3"/>
      <c r="Y93" s="3"/>
      <c r="Z93" s="3"/>
      <c r="AA93" s="3"/>
      <c r="AB93" s="3"/>
      <c r="AC93" s="3"/>
      <c r="AD93" s="3"/>
    </row>
    <row r="94" spans="1:30" ht="23.25" hidden="1" customHeight="1">
      <c r="A94" s="167"/>
      <c r="B94" s="170"/>
      <c r="C94" s="170"/>
      <c r="D94" s="181"/>
      <c r="E94" s="5"/>
      <c r="F94" s="40">
        <v>324</v>
      </c>
      <c r="G94" s="7">
        <v>40031</v>
      </c>
      <c r="H94" s="7"/>
      <c r="I94" s="7">
        <f>J94+K94+L94+M94+N94+O94+P94+Q94+R94+S94+T94+U94</f>
        <v>40031</v>
      </c>
      <c r="J94" s="41">
        <f>4073-4073</f>
        <v>0</v>
      </c>
      <c r="K94" s="42">
        <f>4073+4073</f>
        <v>8146</v>
      </c>
      <c r="L94" s="42">
        <v>4073</v>
      </c>
      <c r="M94" s="42">
        <v>4073</v>
      </c>
      <c r="N94" s="42">
        <v>4073</v>
      </c>
      <c r="O94" s="42">
        <v>4073</v>
      </c>
      <c r="P94" s="42">
        <v>2000</v>
      </c>
      <c r="Q94" s="42">
        <v>2000</v>
      </c>
      <c r="R94" s="42">
        <v>3073</v>
      </c>
      <c r="S94" s="42">
        <v>3073</v>
      </c>
      <c r="T94" s="42">
        <v>3867</v>
      </c>
      <c r="U94" s="42">
        <f>4073-2493</f>
        <v>1580</v>
      </c>
      <c r="V94" s="3"/>
      <c r="W94" s="3"/>
      <c r="X94" s="3"/>
      <c r="Y94" s="3"/>
      <c r="Z94" s="3"/>
      <c r="AA94" s="3"/>
      <c r="AB94" s="3"/>
      <c r="AC94" s="3"/>
      <c r="AD94" s="3"/>
    </row>
    <row r="95" spans="1:30" ht="42" customHeight="1">
      <c r="A95" s="167"/>
      <c r="B95" s="170"/>
      <c r="C95" s="170"/>
      <c r="D95" s="181"/>
      <c r="E95" s="5">
        <f>E90+1</f>
        <v>17</v>
      </c>
      <c r="F95" s="6" t="s">
        <v>24</v>
      </c>
      <c r="G95" s="7">
        <f>G96+G97+G98+G99</f>
        <v>193318</v>
      </c>
      <c r="H95" s="7">
        <v>283185</v>
      </c>
      <c r="I95" s="7">
        <f>I96</f>
        <v>166477</v>
      </c>
      <c r="J95" s="8">
        <f t="shared" ref="J95:U95" si="17">J96+J97+J98+J99</f>
        <v>0</v>
      </c>
      <c r="K95" s="7">
        <f t="shared" si="17"/>
        <v>48224</v>
      </c>
      <c r="L95" s="7">
        <f t="shared" si="17"/>
        <v>24288</v>
      </c>
      <c r="M95" s="7">
        <f t="shared" si="17"/>
        <v>23188</v>
      </c>
      <c r="N95" s="7">
        <f t="shared" si="17"/>
        <v>23188</v>
      </c>
      <c r="O95" s="7">
        <f t="shared" si="17"/>
        <v>23923</v>
      </c>
      <c r="P95" s="7">
        <f t="shared" si="17"/>
        <v>19331</v>
      </c>
      <c r="Q95" s="7">
        <f t="shared" si="17"/>
        <v>10839</v>
      </c>
      <c r="R95" s="7">
        <f t="shared" si="17"/>
        <v>14157</v>
      </c>
      <c r="S95" s="7">
        <f t="shared" si="17"/>
        <v>2427</v>
      </c>
      <c r="T95" s="7">
        <f t="shared" si="17"/>
        <v>2427</v>
      </c>
      <c r="U95" s="7">
        <f t="shared" si="17"/>
        <v>781</v>
      </c>
      <c r="V95" s="182" t="s">
        <v>5</v>
      </c>
      <c r="W95" s="183"/>
      <c r="X95" s="184"/>
      <c r="Y95" s="182">
        <v>166477</v>
      </c>
      <c r="Z95" s="183"/>
      <c r="AA95" s="183"/>
      <c r="AB95" s="183"/>
      <c r="AC95" s="183"/>
      <c r="AD95" s="184"/>
    </row>
    <row r="96" spans="1:30" ht="23.25" customHeight="1">
      <c r="A96" s="167"/>
      <c r="B96" s="170"/>
      <c r="C96" s="170"/>
      <c r="D96" s="181"/>
      <c r="E96" s="5"/>
      <c r="F96" s="6" t="s">
        <v>5</v>
      </c>
      <c r="G96" s="7">
        <v>166477</v>
      </c>
      <c r="H96" s="7"/>
      <c r="I96" s="7">
        <f>J96+K96+L96+M96+N96+O96+P96+Q96+R96+S96+T96+U96</f>
        <v>166477</v>
      </c>
      <c r="J96" s="43">
        <v>0</v>
      </c>
      <c r="K96" s="26">
        <v>42595</v>
      </c>
      <c r="L96" s="26">
        <v>21982</v>
      </c>
      <c r="M96" s="26">
        <v>20882</v>
      </c>
      <c r="N96" s="26">
        <v>20882</v>
      </c>
      <c r="O96" s="26">
        <v>20882</v>
      </c>
      <c r="P96" s="26">
        <f>35956-19271</f>
        <v>16685</v>
      </c>
      <c r="Q96" s="26">
        <v>10839</v>
      </c>
      <c r="R96" s="26">
        <v>11730</v>
      </c>
      <c r="S96" s="26">
        <v>0</v>
      </c>
      <c r="T96" s="26">
        <v>0</v>
      </c>
      <c r="U96" s="26">
        <v>0</v>
      </c>
      <c r="V96" s="182"/>
      <c r="W96" s="183"/>
      <c r="X96" s="184"/>
      <c r="Y96" s="182"/>
      <c r="Z96" s="183"/>
      <c r="AA96" s="183"/>
      <c r="AB96" s="183"/>
      <c r="AC96" s="183"/>
      <c r="AD96" s="184"/>
    </row>
    <row r="97" spans="1:30" ht="23.25" hidden="1" customHeight="1">
      <c r="A97" s="167"/>
      <c r="B97" s="170"/>
      <c r="C97" s="170"/>
      <c r="D97" s="181"/>
      <c r="E97" s="5"/>
      <c r="F97" s="6" t="s">
        <v>4</v>
      </c>
      <c r="G97" s="44">
        <v>5741</v>
      </c>
      <c r="H97" s="44"/>
      <c r="I97" s="7">
        <f>J97+K97+L97+M97+N97+O97+P97+Q97+R97+S97+T97+U97</f>
        <v>5196</v>
      </c>
      <c r="J97" s="39">
        <f>2022-2022</f>
        <v>0</v>
      </c>
      <c r="K97" s="38">
        <f>-370+2022</f>
        <v>1652</v>
      </c>
      <c r="L97" s="38">
        <v>351</v>
      </c>
      <c r="M97" s="38">
        <v>351</v>
      </c>
      <c r="N97" s="38">
        <v>351</v>
      </c>
      <c r="O97" s="38">
        <v>1086</v>
      </c>
      <c r="P97" s="38">
        <v>0</v>
      </c>
      <c r="Q97" s="38">
        <v>0</v>
      </c>
      <c r="R97" s="38">
        <v>351</v>
      </c>
      <c r="S97" s="38">
        <v>351</v>
      </c>
      <c r="T97" s="38">
        <v>351</v>
      </c>
      <c r="U97" s="38">
        <v>352</v>
      </c>
      <c r="V97" s="3"/>
      <c r="W97" s="3"/>
      <c r="X97" s="3"/>
      <c r="Y97" s="3"/>
      <c r="Z97" s="3"/>
      <c r="AA97" s="3"/>
      <c r="AB97" s="3"/>
      <c r="AC97" s="3"/>
      <c r="AD97" s="3"/>
    </row>
    <row r="98" spans="1:30" ht="23.25" hidden="1" customHeight="1">
      <c r="A98" s="167"/>
      <c r="B98" s="170"/>
      <c r="C98" s="170"/>
      <c r="D98" s="181"/>
      <c r="E98" s="5"/>
      <c r="F98" s="6" t="s">
        <v>3</v>
      </c>
      <c r="G98" s="7"/>
      <c r="H98" s="7"/>
      <c r="I98" s="7">
        <f>J98+K98+L98+M98+N98+O98+P98+Q98+R98+S98+T98+U98</f>
        <v>0</v>
      </c>
      <c r="J98" s="13"/>
      <c r="K98" s="14"/>
      <c r="L98" s="45"/>
      <c r="M98" s="45"/>
      <c r="N98" s="14"/>
      <c r="O98" s="14"/>
      <c r="P98" s="14"/>
      <c r="Q98" s="14"/>
      <c r="R98" s="14"/>
      <c r="S98" s="14"/>
      <c r="T98" s="14"/>
      <c r="U98" s="14"/>
      <c r="V98" s="3"/>
      <c r="W98" s="3"/>
      <c r="X98" s="3"/>
      <c r="Y98" s="3"/>
      <c r="Z98" s="3"/>
      <c r="AA98" s="3"/>
      <c r="AB98" s="3"/>
      <c r="AC98" s="3"/>
      <c r="AD98" s="3"/>
    </row>
    <row r="99" spans="1:30" ht="23.25" hidden="1" customHeight="1">
      <c r="A99" s="167"/>
      <c r="B99" s="170"/>
      <c r="C99" s="170"/>
      <c r="D99" s="181"/>
      <c r="E99" s="5"/>
      <c r="F99" s="40">
        <v>324</v>
      </c>
      <c r="G99" s="7">
        <v>21100</v>
      </c>
      <c r="H99" s="7"/>
      <c r="I99" s="7">
        <f>J99+K99+L99+M99+N99+O99+P99+Q99+R99+S99+T99+U99</f>
        <v>21100</v>
      </c>
      <c r="J99" s="20">
        <f>2022-2022</f>
        <v>0</v>
      </c>
      <c r="K99" s="29">
        <f>1955+2022</f>
        <v>3977</v>
      </c>
      <c r="L99" s="29">
        <v>1955</v>
      </c>
      <c r="M99" s="29">
        <v>1955</v>
      </c>
      <c r="N99" s="29">
        <v>1955</v>
      </c>
      <c r="O99" s="29">
        <v>1955</v>
      </c>
      <c r="P99" s="29">
        <v>2646</v>
      </c>
      <c r="Q99" s="29"/>
      <c r="R99" s="29">
        <v>2076</v>
      </c>
      <c r="S99" s="29">
        <v>2076</v>
      </c>
      <c r="T99" s="29">
        <v>2076</v>
      </c>
      <c r="U99" s="29">
        <f>2076-1647</f>
        <v>429</v>
      </c>
      <c r="V99" s="3"/>
      <c r="W99" s="3"/>
      <c r="X99" s="3"/>
      <c r="Y99" s="3"/>
      <c r="Z99" s="3"/>
      <c r="AA99" s="3"/>
      <c r="AB99" s="3"/>
      <c r="AC99" s="3"/>
      <c r="AD99" s="3"/>
    </row>
    <row r="100" spans="1:30" ht="42" customHeight="1">
      <c r="A100" s="167"/>
      <c r="B100" s="170"/>
      <c r="C100" s="170"/>
      <c r="D100" s="181"/>
      <c r="E100" s="5">
        <f>E95+1</f>
        <v>18</v>
      </c>
      <c r="F100" s="6" t="s">
        <v>23</v>
      </c>
      <c r="G100" s="7">
        <f>G101+G102+G103+G104</f>
        <v>267279</v>
      </c>
      <c r="H100" s="7">
        <v>259043</v>
      </c>
      <c r="I100" s="7">
        <f>I101</f>
        <v>182478</v>
      </c>
      <c r="J100" s="8">
        <f t="shared" ref="J100:U100" si="18">J101+J102+J103+J104</f>
        <v>0</v>
      </c>
      <c r="K100" s="7">
        <f t="shared" si="18"/>
        <v>44163</v>
      </c>
      <c r="L100" s="7">
        <f t="shared" si="18"/>
        <v>19834</v>
      </c>
      <c r="M100" s="7">
        <f t="shared" si="18"/>
        <v>20363</v>
      </c>
      <c r="N100" s="7">
        <f t="shared" si="18"/>
        <v>21026</v>
      </c>
      <c r="O100" s="7">
        <f t="shared" si="18"/>
        <v>36971</v>
      </c>
      <c r="P100" s="7">
        <f t="shared" si="18"/>
        <v>12679</v>
      </c>
      <c r="Q100" s="7">
        <f t="shared" si="18"/>
        <v>9189</v>
      </c>
      <c r="R100" s="7">
        <f t="shared" si="18"/>
        <v>21678</v>
      </c>
      <c r="S100" s="7">
        <f t="shared" si="18"/>
        <v>39530</v>
      </c>
      <c r="T100" s="7">
        <f t="shared" si="18"/>
        <v>11450</v>
      </c>
      <c r="U100" s="7">
        <f t="shared" si="18"/>
        <v>15193</v>
      </c>
      <c r="V100" s="182" t="s">
        <v>5</v>
      </c>
      <c r="W100" s="183"/>
      <c r="X100" s="184"/>
      <c r="Y100" s="182">
        <v>182478</v>
      </c>
      <c r="Z100" s="183"/>
      <c r="AA100" s="183"/>
      <c r="AB100" s="183"/>
      <c r="AC100" s="183"/>
      <c r="AD100" s="184"/>
    </row>
    <row r="101" spans="1:30" ht="23.25" customHeight="1">
      <c r="A101" s="167"/>
      <c r="B101" s="170"/>
      <c r="C101" s="170"/>
      <c r="D101" s="181"/>
      <c r="E101" s="5"/>
      <c r="F101" s="6" t="s">
        <v>5</v>
      </c>
      <c r="G101" s="7">
        <v>197681</v>
      </c>
      <c r="H101" s="7"/>
      <c r="I101" s="7">
        <f>J101+K101+L101+M101+N101+O101+P101+Q101+R101+S101+T101+U101</f>
        <v>182478</v>
      </c>
      <c r="J101" s="47">
        <v>0</v>
      </c>
      <c r="K101" s="48">
        <v>32572</v>
      </c>
      <c r="L101" s="48">
        <v>15678</v>
      </c>
      <c r="M101" s="48">
        <v>16156</v>
      </c>
      <c r="N101" s="48">
        <v>16820</v>
      </c>
      <c r="O101" s="48">
        <v>30161</v>
      </c>
      <c r="P101" s="48">
        <v>8473</v>
      </c>
      <c r="Q101" s="48">
        <v>6035</v>
      </c>
      <c r="R101" s="48">
        <f>12471+8593</f>
        <v>21064</v>
      </c>
      <c r="S101" s="48">
        <v>14369</v>
      </c>
      <c r="T101" s="48">
        <f>14875-8593</f>
        <v>6282</v>
      </c>
      <c r="U101" s="48">
        <v>14868</v>
      </c>
      <c r="V101" s="182"/>
      <c r="W101" s="183"/>
      <c r="X101" s="184"/>
      <c r="Y101" s="182"/>
      <c r="Z101" s="183"/>
      <c r="AA101" s="183"/>
      <c r="AB101" s="183"/>
      <c r="AC101" s="183"/>
      <c r="AD101" s="184"/>
    </row>
    <row r="102" spans="1:30" ht="23.25" hidden="1" customHeight="1">
      <c r="A102" s="167"/>
      <c r="B102" s="170"/>
      <c r="C102" s="170"/>
      <c r="D102" s="181"/>
      <c r="E102" s="5"/>
      <c r="F102" s="6" t="s">
        <v>4</v>
      </c>
      <c r="G102" s="49">
        <v>19934</v>
      </c>
      <c r="H102" s="49"/>
      <c r="I102" s="7">
        <f>J102+K102+L102+M102+N102+O102+P102+Q102+R102+S102+T102+U102</f>
        <v>19934</v>
      </c>
      <c r="J102" s="39">
        <f>3142-3142</f>
        <v>0</v>
      </c>
      <c r="K102" s="38">
        <f>2165+3142</f>
        <v>5307</v>
      </c>
      <c r="L102" s="38">
        <v>1017</v>
      </c>
      <c r="M102" s="38">
        <v>1068</v>
      </c>
      <c r="N102" s="38">
        <v>1067</v>
      </c>
      <c r="O102" s="38">
        <v>3671</v>
      </c>
      <c r="P102" s="38">
        <v>1067</v>
      </c>
      <c r="Q102" s="38">
        <v>15</v>
      </c>
      <c r="R102" s="38">
        <v>614</v>
      </c>
      <c r="S102" s="38">
        <v>615</v>
      </c>
      <c r="T102" s="38">
        <f>408+4760</f>
        <v>5168</v>
      </c>
      <c r="U102" s="38">
        <v>325</v>
      </c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23.25" hidden="1" customHeight="1">
      <c r="A103" s="167"/>
      <c r="B103" s="170"/>
      <c r="C103" s="170"/>
      <c r="D103" s="181"/>
      <c r="E103" s="5"/>
      <c r="F103" s="6" t="s">
        <v>3</v>
      </c>
      <c r="G103" s="49"/>
      <c r="H103" s="49"/>
      <c r="I103" s="7">
        <f>J103+K103+L103+M103+N103+O103+P103+Q103+R103+S103+T103+U103</f>
        <v>0</v>
      </c>
      <c r="J103" s="39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23.25" hidden="1" customHeight="1">
      <c r="A104" s="167"/>
      <c r="B104" s="170"/>
      <c r="C104" s="170"/>
      <c r="D104" s="181"/>
      <c r="E104" s="5"/>
      <c r="F104" s="40">
        <v>324</v>
      </c>
      <c r="G104" s="7">
        <v>49664</v>
      </c>
      <c r="H104" s="7"/>
      <c r="I104" s="7">
        <f>J104+K104+L104+M104+N104+O104+P104+Q104+R104+S104+T104+U104</f>
        <v>49664</v>
      </c>
      <c r="J104" s="50">
        <f>3142-3142</f>
        <v>0</v>
      </c>
      <c r="K104" s="51">
        <f>3142+3142</f>
        <v>6284</v>
      </c>
      <c r="L104" s="51">
        <v>3139</v>
      </c>
      <c r="M104" s="51">
        <v>3139</v>
      </c>
      <c r="N104" s="51">
        <v>3139</v>
      </c>
      <c r="O104" s="51">
        <v>3139</v>
      </c>
      <c r="P104" s="51">
        <v>3139</v>
      </c>
      <c r="Q104" s="51">
        <v>3139</v>
      </c>
      <c r="R104" s="51"/>
      <c r="S104" s="51">
        <v>24546</v>
      </c>
      <c r="T104" s="51"/>
      <c r="U104" s="52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44.25" customHeight="1">
      <c r="A105" s="167"/>
      <c r="B105" s="170"/>
      <c r="C105" s="170"/>
      <c r="D105" s="181"/>
      <c r="E105" s="5">
        <f>E100+1</f>
        <v>19</v>
      </c>
      <c r="F105" s="6" t="s">
        <v>22</v>
      </c>
      <c r="G105" s="7">
        <f>G106+G107+G108+G109</f>
        <v>565592</v>
      </c>
      <c r="H105" s="7">
        <v>613247</v>
      </c>
      <c r="I105" s="7">
        <f>I106</f>
        <v>394053</v>
      </c>
      <c r="J105" s="8">
        <f t="shared" ref="J105:U105" si="19">J106+J107+J108+J109</f>
        <v>31490</v>
      </c>
      <c r="K105" s="7">
        <f t="shared" si="19"/>
        <v>78277</v>
      </c>
      <c r="L105" s="7">
        <f t="shared" si="19"/>
        <v>42828</v>
      </c>
      <c r="M105" s="7">
        <f t="shared" si="19"/>
        <v>54202</v>
      </c>
      <c r="N105" s="7">
        <f t="shared" si="19"/>
        <v>44571</v>
      </c>
      <c r="O105" s="7">
        <f t="shared" si="19"/>
        <v>123502</v>
      </c>
      <c r="P105" s="7">
        <f t="shared" si="19"/>
        <v>43505</v>
      </c>
      <c r="Q105" s="7">
        <f t="shared" si="19"/>
        <v>49687</v>
      </c>
      <c r="R105" s="7">
        <f t="shared" si="19"/>
        <v>40500</v>
      </c>
      <c r="S105" s="7">
        <f t="shared" si="19"/>
        <v>11610</v>
      </c>
      <c r="T105" s="7">
        <f t="shared" si="19"/>
        <v>22682</v>
      </c>
      <c r="U105" s="7">
        <f t="shared" si="19"/>
        <v>22736</v>
      </c>
      <c r="V105" s="182" t="s">
        <v>5</v>
      </c>
      <c r="W105" s="183"/>
      <c r="X105" s="184"/>
      <c r="Y105" s="182">
        <v>394053</v>
      </c>
      <c r="Z105" s="183"/>
      <c r="AA105" s="183"/>
      <c r="AB105" s="183"/>
      <c r="AC105" s="183"/>
      <c r="AD105" s="184"/>
    </row>
    <row r="106" spans="1:30" ht="23.25" customHeight="1">
      <c r="A106" s="167"/>
      <c r="B106" s="170"/>
      <c r="C106" s="170"/>
      <c r="D106" s="181"/>
      <c r="E106" s="5"/>
      <c r="F106" s="6" t="s">
        <v>5</v>
      </c>
      <c r="G106" s="7">
        <v>394055</v>
      </c>
      <c r="H106" s="7"/>
      <c r="I106" s="7">
        <f>J106+K106+L106+M106+N106+O106+P106+Q106+R106+S106+T106+U106</f>
        <v>394053</v>
      </c>
      <c r="J106" s="53">
        <v>0</v>
      </c>
      <c r="K106" s="54">
        <v>67273</v>
      </c>
      <c r="L106" s="54">
        <f>31824+3202</f>
        <v>35026</v>
      </c>
      <c r="M106" s="54">
        <f>31969+7986</f>
        <v>39955</v>
      </c>
      <c r="N106" s="54">
        <v>29479</v>
      </c>
      <c r="O106" s="54">
        <f>89478+5242</f>
        <v>94720</v>
      </c>
      <c r="P106" s="54">
        <f>13601+19271</f>
        <v>32872</v>
      </c>
      <c r="Q106" s="54">
        <f>8889+29321</f>
        <v>38210</v>
      </c>
      <c r="R106" s="54">
        <v>29866</v>
      </c>
      <c r="S106" s="54">
        <f>29321-29321</f>
        <v>0</v>
      </c>
      <c r="T106" s="54">
        <f>31320-19271</f>
        <v>12049</v>
      </c>
      <c r="U106" s="54">
        <f>31033-7986-3202-5242</f>
        <v>14603</v>
      </c>
      <c r="V106" s="182"/>
      <c r="W106" s="183"/>
      <c r="X106" s="184"/>
      <c r="Y106" s="182"/>
      <c r="Z106" s="183"/>
      <c r="AA106" s="183"/>
      <c r="AB106" s="183"/>
      <c r="AC106" s="183"/>
      <c r="AD106" s="184"/>
    </row>
    <row r="107" spans="1:30" ht="23.25" hidden="1" customHeight="1">
      <c r="A107" s="167"/>
      <c r="B107" s="170"/>
      <c r="C107" s="170"/>
      <c r="D107" s="181"/>
      <c r="E107" s="5"/>
      <c r="F107" s="6" t="s">
        <v>21</v>
      </c>
      <c r="G107" s="7">
        <v>56634</v>
      </c>
      <c r="H107" s="7"/>
      <c r="I107" s="7">
        <f>J107+K107+L107+M107+N107+O107+P107+Q107+R107+S107+T107+U107</f>
        <v>56634</v>
      </c>
      <c r="J107" s="56"/>
      <c r="K107" s="57">
        <v>11004</v>
      </c>
      <c r="L107" s="57">
        <v>3242</v>
      </c>
      <c r="M107" s="57">
        <v>3242</v>
      </c>
      <c r="N107" s="57">
        <v>4087</v>
      </c>
      <c r="O107" s="57">
        <f>7676+6930</f>
        <v>14606</v>
      </c>
      <c r="P107" s="57">
        <v>2488</v>
      </c>
      <c r="Q107" s="57">
        <v>3332</v>
      </c>
      <c r="R107" s="57">
        <v>2489</v>
      </c>
      <c r="S107" s="57">
        <v>3399</v>
      </c>
      <c r="T107" s="57">
        <v>2488</v>
      </c>
      <c r="U107" s="57">
        <f>2488+10699-6930</f>
        <v>6257</v>
      </c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23.25" hidden="1" customHeight="1">
      <c r="A108" s="167"/>
      <c r="B108" s="170"/>
      <c r="C108" s="170"/>
      <c r="D108" s="181"/>
      <c r="E108" s="5"/>
      <c r="F108" s="6" t="s">
        <v>3</v>
      </c>
      <c r="G108" s="7"/>
      <c r="H108" s="7"/>
      <c r="I108" s="7">
        <f>J108+K108+L108+M108+N108+O108+P108+Q108+R108+S108+T108+U108</f>
        <v>0</v>
      </c>
      <c r="J108" s="18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23.25" hidden="1" customHeight="1">
      <c r="A109" s="167"/>
      <c r="B109" s="170"/>
      <c r="C109" s="170"/>
      <c r="D109" s="181"/>
      <c r="E109" s="5"/>
      <c r="F109" s="40">
        <v>324</v>
      </c>
      <c r="G109" s="7">
        <v>114903</v>
      </c>
      <c r="H109" s="7"/>
      <c r="I109" s="7">
        <f>J109+K109+L109+M109+N109+O109+P109+Q109+R109+S109+T109+U109</f>
        <v>114903</v>
      </c>
      <c r="J109" s="50">
        <f>12956+18534</f>
        <v>31490</v>
      </c>
      <c r="K109" s="58"/>
      <c r="L109" s="58">
        <f>11006-5577-869</f>
        <v>4560</v>
      </c>
      <c r="M109" s="58">
        <v>11005</v>
      </c>
      <c r="N109" s="58">
        <v>11005</v>
      </c>
      <c r="O109" s="58">
        <f>11005+2181+990</f>
        <v>14176</v>
      </c>
      <c r="P109" s="58">
        <v>8145</v>
      </c>
      <c r="Q109" s="58">
        <v>8145</v>
      </c>
      <c r="R109" s="58">
        <v>8145</v>
      </c>
      <c r="S109" s="58">
        <f>8145+66</f>
        <v>8211</v>
      </c>
      <c r="T109" s="58">
        <v>8145</v>
      </c>
      <c r="U109" s="58">
        <f>8145-5279-990</f>
        <v>1876</v>
      </c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s="60" customFormat="1" ht="23.25" hidden="1" customHeight="1">
      <c r="A110" s="167"/>
      <c r="B110" s="170"/>
      <c r="C110" s="170"/>
      <c r="D110" s="181"/>
      <c r="E110" s="127">
        <f>E105+1</f>
        <v>20</v>
      </c>
      <c r="F110" s="124" t="s">
        <v>20</v>
      </c>
      <c r="G110" s="125">
        <f>G111+G112+G113+G114</f>
        <v>1236484</v>
      </c>
      <c r="H110" s="125">
        <v>1132760</v>
      </c>
      <c r="I110" s="125">
        <f t="shared" ref="I110:U110" si="20">I111+I112+I113+I114</f>
        <v>1236723</v>
      </c>
      <c r="J110" s="8">
        <f t="shared" si="20"/>
        <v>0</v>
      </c>
      <c r="K110" s="7">
        <f t="shared" si="20"/>
        <v>294718</v>
      </c>
      <c r="L110" s="7">
        <f t="shared" si="20"/>
        <v>165014</v>
      </c>
      <c r="M110" s="7">
        <f t="shared" si="20"/>
        <v>151214</v>
      </c>
      <c r="N110" s="7">
        <f t="shared" si="20"/>
        <v>154839</v>
      </c>
      <c r="O110" s="7">
        <f t="shared" si="20"/>
        <v>162546</v>
      </c>
      <c r="P110" s="7">
        <f t="shared" si="20"/>
        <v>223573</v>
      </c>
      <c r="Q110" s="7">
        <f t="shared" si="20"/>
        <v>84819</v>
      </c>
      <c r="R110" s="7">
        <f t="shared" si="20"/>
        <v>0</v>
      </c>
      <c r="S110" s="7">
        <f t="shared" si="20"/>
        <v>0</v>
      </c>
      <c r="T110" s="7">
        <f t="shared" si="20"/>
        <v>0</v>
      </c>
      <c r="U110" s="7">
        <f t="shared" si="20"/>
        <v>0</v>
      </c>
      <c r="V110" s="59"/>
      <c r="W110" s="59"/>
      <c r="X110" s="59"/>
      <c r="Y110" s="59"/>
      <c r="Z110" s="59"/>
      <c r="AA110" s="59"/>
      <c r="AB110" s="59"/>
      <c r="AC110" s="59"/>
      <c r="AD110" s="59"/>
    </row>
    <row r="111" spans="1:30" ht="23.25" hidden="1" customHeight="1">
      <c r="A111" s="167"/>
      <c r="B111" s="170"/>
      <c r="C111" s="170"/>
      <c r="D111" s="181"/>
      <c r="E111" s="127"/>
      <c r="F111" s="124" t="s">
        <v>5</v>
      </c>
      <c r="G111" s="125">
        <v>869485</v>
      </c>
      <c r="H111" s="125"/>
      <c r="I111" s="125">
        <f>J111+K111+L111+M111+N111+O111+P111+Q111+R111+S111+T111+U111</f>
        <v>922373</v>
      </c>
      <c r="J111" s="61">
        <v>0</v>
      </c>
      <c r="K111" s="62">
        <v>201180</v>
      </c>
      <c r="L111" s="62">
        <v>127371</v>
      </c>
      <c r="M111" s="62">
        <v>113572</v>
      </c>
      <c r="N111" s="62">
        <v>111909</v>
      </c>
      <c r="O111" s="62">
        <v>111872</v>
      </c>
      <c r="P111" s="62">
        <v>171650</v>
      </c>
      <c r="Q111" s="62">
        <v>84819</v>
      </c>
      <c r="R111" s="62">
        <v>0</v>
      </c>
      <c r="S111" s="62">
        <v>0</v>
      </c>
      <c r="T111" s="62">
        <v>0</v>
      </c>
      <c r="U111" s="62">
        <v>0</v>
      </c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23.25" hidden="1" customHeight="1">
      <c r="A112" s="167"/>
      <c r="B112" s="170"/>
      <c r="C112" s="170"/>
      <c r="D112" s="181"/>
      <c r="E112" s="5"/>
      <c r="F112" s="124" t="s">
        <v>4</v>
      </c>
      <c r="G112" s="125">
        <v>73593</v>
      </c>
      <c r="H112" s="125"/>
      <c r="I112" s="125">
        <f>J112+K112+L112+M112+N112+O112+P112+Q112+R112+S112+T112+U112</f>
        <v>52427</v>
      </c>
      <c r="J112" s="39">
        <f>35000-35000</f>
        <v>0</v>
      </c>
      <c r="K112" s="38">
        <f>-10593+35000</f>
        <v>24407</v>
      </c>
      <c r="L112" s="38">
        <v>1774</v>
      </c>
      <c r="M112" s="38">
        <v>2642</v>
      </c>
      <c r="N112" s="38">
        <v>7930</v>
      </c>
      <c r="O112" s="38">
        <v>15674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23.25" hidden="1" customHeight="1">
      <c r="A113" s="167"/>
      <c r="B113" s="170"/>
      <c r="C113" s="170"/>
      <c r="D113" s="181"/>
      <c r="E113" s="5"/>
      <c r="F113" s="124" t="s">
        <v>3</v>
      </c>
      <c r="G113" s="125"/>
      <c r="H113" s="125"/>
      <c r="I113" s="125">
        <f>J113+K113+L113+M113+N113+O113+P113+Q113+R113+S113+T113+U113</f>
        <v>0</v>
      </c>
      <c r="J113" s="63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23.25" hidden="1" customHeight="1">
      <c r="A114" s="167"/>
      <c r="B114" s="170"/>
      <c r="C114" s="170"/>
      <c r="D114" s="181"/>
      <c r="E114" s="5"/>
      <c r="F114" s="126">
        <v>324</v>
      </c>
      <c r="G114" s="125">
        <v>293406</v>
      </c>
      <c r="H114" s="125"/>
      <c r="I114" s="125">
        <f>J114+K114+L114+M114+N114+O114+P114+Q114+R114+S114+T114+U114</f>
        <v>261923</v>
      </c>
      <c r="J114" s="16">
        <f>35000-35000</f>
        <v>0</v>
      </c>
      <c r="K114" s="65">
        <f>35000+35000-869</f>
        <v>69131</v>
      </c>
      <c r="L114" s="65">
        <f>35000+869</f>
        <v>35869</v>
      </c>
      <c r="M114" s="65">
        <v>35000</v>
      </c>
      <c r="N114" s="65">
        <v>35000</v>
      </c>
      <c r="O114" s="65">
        <v>35000</v>
      </c>
      <c r="P114" s="65">
        <v>51923</v>
      </c>
      <c r="Q114" s="65"/>
      <c r="R114" s="66"/>
      <c r="S114" s="66"/>
      <c r="T114" s="14"/>
      <c r="U114" s="14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s="60" customFormat="1" ht="47.25" customHeight="1">
      <c r="A115" s="167"/>
      <c r="B115" s="170"/>
      <c r="C115" s="170"/>
      <c r="D115" s="181"/>
      <c r="E115" s="5">
        <f>E105+1</f>
        <v>20</v>
      </c>
      <c r="F115" s="67" t="s">
        <v>19</v>
      </c>
      <c r="G115" s="7">
        <f>G116+G117+G118+G119</f>
        <v>246227</v>
      </c>
      <c r="H115" s="7">
        <v>401995</v>
      </c>
      <c r="I115" s="7">
        <f>I116+I118</f>
        <v>154258</v>
      </c>
      <c r="J115" s="8">
        <f t="shared" ref="J115:U115" si="21">J116+J117+J118+J119</f>
        <v>19209</v>
      </c>
      <c r="K115" s="7">
        <f t="shared" si="21"/>
        <v>53505</v>
      </c>
      <c r="L115" s="7">
        <f t="shared" si="21"/>
        <v>27293.25</v>
      </c>
      <c r="M115" s="7">
        <f t="shared" si="21"/>
        <v>33326</v>
      </c>
      <c r="N115" s="7">
        <f t="shared" si="21"/>
        <v>44560</v>
      </c>
      <c r="O115" s="7">
        <f t="shared" si="21"/>
        <v>26580</v>
      </c>
      <c r="P115" s="7">
        <f t="shared" si="21"/>
        <v>11480</v>
      </c>
      <c r="Q115" s="7">
        <f t="shared" si="21"/>
        <v>12729.75</v>
      </c>
      <c r="R115" s="7">
        <f t="shared" si="21"/>
        <v>13698</v>
      </c>
      <c r="S115" s="7">
        <f t="shared" si="21"/>
        <v>13698</v>
      </c>
      <c r="T115" s="7">
        <f t="shared" si="21"/>
        <v>13697</v>
      </c>
      <c r="U115" s="7">
        <f t="shared" si="21"/>
        <v>7815</v>
      </c>
      <c r="V115" s="182" t="s">
        <v>5</v>
      </c>
      <c r="W115" s="183"/>
      <c r="X115" s="184"/>
      <c r="Y115" s="182">
        <v>154258</v>
      </c>
      <c r="Z115" s="183"/>
      <c r="AA115" s="183"/>
      <c r="AB115" s="183"/>
      <c r="AC115" s="183"/>
      <c r="AD115" s="184"/>
    </row>
    <row r="116" spans="1:30" s="60" customFormat="1" ht="23.25" customHeight="1">
      <c r="A116" s="167"/>
      <c r="B116" s="170"/>
      <c r="C116" s="170"/>
      <c r="D116" s="181"/>
      <c r="E116" s="5"/>
      <c r="F116" s="6" t="s">
        <v>5</v>
      </c>
      <c r="G116" s="7">
        <v>122894</v>
      </c>
      <c r="H116" s="7"/>
      <c r="I116" s="7">
        <f>J116+K116+L116+M116+N116+O116+P116+Q116+R116+S116+T116+U116</f>
        <v>122894</v>
      </c>
      <c r="J116" s="39">
        <v>0</v>
      </c>
      <c r="K116" s="38">
        <f>56428.25-6454-6454</f>
        <v>43520.25</v>
      </c>
      <c r="L116" s="38">
        <f>19329.25-6301</f>
        <v>13028.25</v>
      </c>
      <c r="M116" s="38">
        <v>19627.25</v>
      </c>
      <c r="N116" s="38">
        <v>29314.25</v>
      </c>
      <c r="O116" s="38">
        <v>16799</v>
      </c>
      <c r="P116" s="38">
        <f>22107-21502</f>
        <v>605</v>
      </c>
      <c r="Q116" s="38"/>
      <c r="R116" s="38"/>
      <c r="S116" s="38"/>
      <c r="T116" s="38"/>
      <c r="U116" s="38"/>
      <c r="V116" s="182" t="s">
        <v>16</v>
      </c>
      <c r="W116" s="183"/>
      <c r="X116" s="184"/>
      <c r="Y116" s="182">
        <v>31364</v>
      </c>
      <c r="Z116" s="183"/>
      <c r="AA116" s="183"/>
      <c r="AB116" s="183"/>
      <c r="AC116" s="183"/>
      <c r="AD116" s="184"/>
    </row>
    <row r="117" spans="1:30" s="60" customFormat="1" ht="23.25" hidden="1" customHeight="1">
      <c r="A117" s="167"/>
      <c r="B117" s="170"/>
      <c r="C117" s="170"/>
      <c r="D117" s="181"/>
      <c r="E117" s="5"/>
      <c r="F117" s="6" t="s">
        <v>4</v>
      </c>
      <c r="G117" s="7">
        <v>51770</v>
      </c>
      <c r="H117" s="7"/>
      <c r="I117" s="7">
        <f>J117+K117+L117+M117+N117+O117+P117+Q117+R117+S117+T117+U117</f>
        <v>51770</v>
      </c>
      <c r="J117" s="39"/>
      <c r="K117" s="38">
        <f>12777.75-8330</f>
        <v>4447.75</v>
      </c>
      <c r="L117" s="38">
        <v>11331</v>
      </c>
      <c r="M117" s="38">
        <v>4422.75</v>
      </c>
      <c r="N117" s="38">
        <v>4422.75</v>
      </c>
      <c r="O117" s="38">
        <f>7019-6404</f>
        <v>615</v>
      </c>
      <c r="P117" s="38">
        <v>4421</v>
      </c>
      <c r="Q117" s="38">
        <v>4421.75</v>
      </c>
      <c r="R117" s="38">
        <v>4422</v>
      </c>
      <c r="S117" s="38">
        <v>4422</v>
      </c>
      <c r="T117" s="38">
        <v>4422</v>
      </c>
      <c r="U117" s="38">
        <v>4422</v>
      </c>
      <c r="V117" s="59"/>
      <c r="W117" s="59"/>
      <c r="X117" s="59"/>
      <c r="Y117" s="59"/>
      <c r="Z117" s="59"/>
      <c r="AA117" s="59"/>
      <c r="AB117" s="59"/>
      <c r="AC117" s="59"/>
      <c r="AD117" s="59"/>
    </row>
    <row r="118" spans="1:30" ht="23.25" customHeight="1">
      <c r="A118" s="167"/>
      <c r="B118" s="170"/>
      <c r="C118" s="170"/>
      <c r="D118" s="181"/>
      <c r="E118" s="5"/>
      <c r="F118" s="6" t="s">
        <v>82</v>
      </c>
      <c r="G118" s="7"/>
      <c r="H118" s="7"/>
      <c r="I118" s="7">
        <f>J118+K118+L118+M118+N118+O118+P118+Q118+R118+S118+T118+U118</f>
        <v>31364</v>
      </c>
      <c r="J118" s="68">
        <f>2714-2714</f>
        <v>0</v>
      </c>
      <c r="K118" s="69">
        <f>2823+2714</f>
        <v>5537</v>
      </c>
      <c r="L118" s="69">
        <v>2781</v>
      </c>
      <c r="M118" s="69">
        <v>2823</v>
      </c>
      <c r="N118" s="69">
        <v>4370</v>
      </c>
      <c r="O118" s="69">
        <v>2713</v>
      </c>
      <c r="P118" s="69">
        <v>0</v>
      </c>
      <c r="Q118" s="69">
        <v>1854</v>
      </c>
      <c r="R118" s="69">
        <v>2822</v>
      </c>
      <c r="S118" s="69">
        <v>2822</v>
      </c>
      <c r="T118" s="69">
        <v>2821</v>
      </c>
      <c r="U118" s="69">
        <v>2821</v>
      </c>
      <c r="V118" s="182"/>
      <c r="W118" s="183"/>
      <c r="X118" s="184"/>
      <c r="Y118" s="182"/>
      <c r="Z118" s="183"/>
      <c r="AA118" s="183"/>
      <c r="AB118" s="183"/>
      <c r="AC118" s="183"/>
      <c r="AD118" s="184"/>
    </row>
    <row r="119" spans="1:30" ht="23.25" hidden="1" customHeight="1">
      <c r="A119" s="167"/>
      <c r="B119" s="170"/>
      <c r="C119" s="170"/>
      <c r="D119" s="181"/>
      <c r="E119" s="5"/>
      <c r="F119" s="40">
        <v>324</v>
      </c>
      <c r="G119" s="7">
        <v>71563</v>
      </c>
      <c r="H119" s="7"/>
      <c r="I119" s="7">
        <f>J119+K119+L119+M119+N119+O119+P119+Q119+R119+S119+T119+U119</f>
        <v>71563</v>
      </c>
      <c r="J119" s="20">
        <f>6454+12755</f>
        <v>19209</v>
      </c>
      <c r="K119" s="29">
        <f>6454-6454</f>
        <v>0</v>
      </c>
      <c r="L119" s="29">
        <f>6454-6301</f>
        <v>153</v>
      </c>
      <c r="M119" s="29">
        <v>6453</v>
      </c>
      <c r="N119" s="29">
        <v>6453</v>
      </c>
      <c r="O119" s="29">
        <v>6453</v>
      </c>
      <c r="P119" s="29">
        <v>6454</v>
      </c>
      <c r="Q119" s="29">
        <v>6454</v>
      </c>
      <c r="R119" s="29">
        <v>6454</v>
      </c>
      <c r="S119" s="29">
        <v>6454</v>
      </c>
      <c r="T119" s="29">
        <v>6454</v>
      </c>
      <c r="U119" s="29">
        <f>6454-5882</f>
        <v>572</v>
      </c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s="60" customFormat="1" ht="42" customHeight="1">
      <c r="A120" s="167"/>
      <c r="B120" s="170"/>
      <c r="C120" s="170"/>
      <c r="D120" s="181"/>
      <c r="E120" s="5">
        <f>E115+1</f>
        <v>21</v>
      </c>
      <c r="F120" s="71" t="s">
        <v>18</v>
      </c>
      <c r="G120" s="7">
        <f>G121+G122+G123+G124</f>
        <v>543384</v>
      </c>
      <c r="H120" s="7">
        <v>568011</v>
      </c>
      <c r="I120" s="7">
        <f>I121</f>
        <v>350614</v>
      </c>
      <c r="J120" s="8">
        <f t="shared" ref="J120:U120" si="22">J121+J122+J123+J124</f>
        <v>13599</v>
      </c>
      <c r="K120" s="7">
        <f t="shared" si="22"/>
        <v>91376</v>
      </c>
      <c r="L120" s="7">
        <f t="shared" si="22"/>
        <v>46628</v>
      </c>
      <c r="M120" s="7">
        <f t="shared" si="22"/>
        <v>46573</v>
      </c>
      <c r="N120" s="7">
        <f t="shared" si="22"/>
        <v>46572</v>
      </c>
      <c r="O120" s="7">
        <f t="shared" si="22"/>
        <v>82626</v>
      </c>
      <c r="P120" s="7">
        <f t="shared" si="22"/>
        <v>25662</v>
      </c>
      <c r="Q120" s="7">
        <f t="shared" si="22"/>
        <v>43572</v>
      </c>
      <c r="R120" s="7">
        <f t="shared" si="22"/>
        <v>33672</v>
      </c>
      <c r="S120" s="7">
        <f t="shared" si="22"/>
        <v>33472</v>
      </c>
      <c r="T120" s="7">
        <f t="shared" si="22"/>
        <v>10010</v>
      </c>
      <c r="U120" s="7">
        <f t="shared" si="22"/>
        <v>30560</v>
      </c>
      <c r="V120" s="182" t="s">
        <v>5</v>
      </c>
      <c r="W120" s="183"/>
      <c r="X120" s="184"/>
      <c r="Y120" s="182">
        <v>350614</v>
      </c>
      <c r="Z120" s="183"/>
      <c r="AA120" s="183"/>
      <c r="AB120" s="183"/>
      <c r="AC120" s="183"/>
      <c r="AD120" s="184"/>
    </row>
    <row r="121" spans="1:30" ht="23.25" customHeight="1">
      <c r="A121" s="167"/>
      <c r="B121" s="170"/>
      <c r="C121" s="170"/>
      <c r="D121" s="181"/>
      <c r="E121" s="5"/>
      <c r="F121" s="6" t="s">
        <v>5</v>
      </c>
      <c r="G121" s="7">
        <v>361359</v>
      </c>
      <c r="H121" s="7"/>
      <c r="I121" s="7">
        <f>J121+K121+L121+M121+N121+O121+P121+Q121+R121+S121+T121+U121</f>
        <v>350614</v>
      </c>
      <c r="J121" s="61">
        <v>0</v>
      </c>
      <c r="K121" s="62">
        <v>68364</v>
      </c>
      <c r="L121" s="62">
        <v>32086</v>
      </c>
      <c r="M121" s="62">
        <v>32086</v>
      </c>
      <c r="N121" s="62">
        <v>32086</v>
      </c>
      <c r="O121" s="62">
        <v>49086</v>
      </c>
      <c r="P121" s="62">
        <v>25662</v>
      </c>
      <c r="Q121" s="62">
        <f>20362+21662</f>
        <v>42024</v>
      </c>
      <c r="R121" s="62">
        <v>23662</v>
      </c>
      <c r="S121" s="62">
        <v>23462</v>
      </c>
      <c r="T121" s="62">
        <f>21662-21662</f>
        <v>0</v>
      </c>
      <c r="U121" s="62">
        <v>22096</v>
      </c>
      <c r="V121" s="182"/>
      <c r="W121" s="183"/>
      <c r="X121" s="184"/>
      <c r="Y121" s="182"/>
      <c r="Z121" s="183"/>
      <c r="AA121" s="183"/>
      <c r="AB121" s="183"/>
      <c r="AC121" s="183"/>
      <c r="AD121" s="184"/>
    </row>
    <row r="122" spans="1:30" ht="23.25" hidden="1" customHeight="1">
      <c r="A122" s="167"/>
      <c r="B122" s="170"/>
      <c r="C122" s="170"/>
      <c r="D122" s="181"/>
      <c r="E122" s="5"/>
      <c r="F122" s="6" t="s">
        <v>4</v>
      </c>
      <c r="G122" s="7">
        <v>50146</v>
      </c>
      <c r="H122" s="7"/>
      <c r="I122" s="7">
        <f>J122+K122+L122+M122+N122+O122+P122+Q122+R122+S122+T122+U122</f>
        <v>50285</v>
      </c>
      <c r="J122" s="72"/>
      <c r="K122" s="55">
        <f>16631-1883</f>
        <v>14748</v>
      </c>
      <c r="L122" s="55">
        <v>4697</v>
      </c>
      <c r="M122" s="55">
        <v>4642</v>
      </c>
      <c r="N122" s="55">
        <v>4641</v>
      </c>
      <c r="O122" s="55">
        <v>9635</v>
      </c>
      <c r="P122" s="55">
        <v>0</v>
      </c>
      <c r="Q122" s="55">
        <v>1548</v>
      </c>
      <c r="R122" s="55">
        <v>2980</v>
      </c>
      <c r="S122" s="55">
        <v>2980</v>
      </c>
      <c r="T122" s="55">
        <v>2980</v>
      </c>
      <c r="U122" s="55">
        <f>2982-1548</f>
        <v>1434</v>
      </c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23.25" hidden="1" customHeight="1">
      <c r="A123" s="167"/>
      <c r="B123" s="170"/>
      <c r="C123" s="170"/>
      <c r="D123" s="181"/>
      <c r="E123" s="5"/>
      <c r="F123" s="6" t="s">
        <v>3</v>
      </c>
      <c r="G123" s="7"/>
      <c r="H123" s="7"/>
      <c r="I123" s="7">
        <f>J123+K123+L123+M123+N123+O123+P123+Q123+R123+S123+T123+U123</f>
        <v>0</v>
      </c>
      <c r="J123" s="72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23.25" hidden="1" customHeight="1">
      <c r="A124" s="167"/>
      <c r="B124" s="170"/>
      <c r="C124" s="170"/>
      <c r="D124" s="181"/>
      <c r="E124" s="5"/>
      <c r="F124" s="40">
        <v>324</v>
      </c>
      <c r="G124" s="7">
        <v>131879</v>
      </c>
      <c r="H124" s="7"/>
      <c r="I124" s="7">
        <f>J124+K124+L124+M124+N124+O124+P124+Q124+R124+S124+T124+U124</f>
        <v>103423</v>
      </c>
      <c r="J124" s="16">
        <f>11716+1883</f>
        <v>13599</v>
      </c>
      <c r="K124" s="17">
        <f>10147-1883</f>
        <v>8264</v>
      </c>
      <c r="L124" s="17">
        <v>9845</v>
      </c>
      <c r="M124" s="17">
        <v>9845</v>
      </c>
      <c r="N124" s="17">
        <v>9845</v>
      </c>
      <c r="O124" s="17">
        <v>23905</v>
      </c>
      <c r="P124" s="17"/>
      <c r="Q124" s="17"/>
      <c r="R124" s="17">
        <v>7030</v>
      </c>
      <c r="S124" s="17">
        <v>7030</v>
      </c>
      <c r="T124" s="17">
        <v>7030</v>
      </c>
      <c r="U124" s="17">
        <v>7030</v>
      </c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s="60" customFormat="1" ht="45.75" customHeight="1">
      <c r="A125" s="167"/>
      <c r="B125" s="170"/>
      <c r="C125" s="170"/>
      <c r="D125" s="181"/>
      <c r="E125" s="5">
        <f>E120+1</f>
        <v>22</v>
      </c>
      <c r="F125" s="73" t="s">
        <v>17</v>
      </c>
      <c r="G125" s="7">
        <f>G126+G127+G128+G129</f>
        <v>255841</v>
      </c>
      <c r="H125" s="7">
        <v>534044</v>
      </c>
      <c r="I125" s="7">
        <f>I126+I128</f>
        <v>193152.2</v>
      </c>
      <c r="J125" s="8">
        <f t="shared" ref="J125:U125" si="23">J126+J127+J128+J129</f>
        <v>0</v>
      </c>
      <c r="K125" s="7">
        <f t="shared" si="23"/>
        <v>33723</v>
      </c>
      <c r="L125" s="7">
        <f t="shared" si="23"/>
        <v>65371</v>
      </c>
      <c r="M125" s="7">
        <f t="shared" si="23"/>
        <v>39223.199999999997</v>
      </c>
      <c r="N125" s="7">
        <f t="shared" si="23"/>
        <v>27974</v>
      </c>
      <c r="O125" s="7">
        <f t="shared" si="23"/>
        <v>46665</v>
      </c>
      <c r="P125" s="7">
        <f t="shared" si="23"/>
        <v>10811</v>
      </c>
      <c r="Q125" s="7">
        <f t="shared" si="23"/>
        <v>8686</v>
      </c>
      <c r="R125" s="7">
        <f t="shared" si="23"/>
        <v>13037</v>
      </c>
      <c r="S125" s="7">
        <f t="shared" si="23"/>
        <v>16753</v>
      </c>
      <c r="T125" s="7">
        <f t="shared" si="23"/>
        <v>9040</v>
      </c>
      <c r="U125" s="7">
        <f t="shared" si="23"/>
        <v>6360</v>
      </c>
      <c r="V125" s="182" t="s">
        <v>5</v>
      </c>
      <c r="W125" s="183"/>
      <c r="X125" s="184"/>
      <c r="Y125" s="182">
        <v>171350.2</v>
      </c>
      <c r="Z125" s="183"/>
      <c r="AA125" s="183"/>
      <c r="AB125" s="183"/>
      <c r="AC125" s="183"/>
      <c r="AD125" s="184"/>
    </row>
    <row r="126" spans="1:30" s="60" customFormat="1" ht="23.25" customHeight="1">
      <c r="A126" s="167"/>
      <c r="B126" s="170"/>
      <c r="C126" s="170"/>
      <c r="D126" s="181"/>
      <c r="E126" s="5"/>
      <c r="F126" s="6" t="s">
        <v>5</v>
      </c>
      <c r="G126" s="7">
        <v>171350</v>
      </c>
      <c r="H126" s="7"/>
      <c r="I126" s="7">
        <f>J126+K126+L126+M126+N126+O126+P126+Q126+R126+S126+T126+U126</f>
        <v>171350.2</v>
      </c>
      <c r="J126" s="8">
        <v>0</v>
      </c>
      <c r="K126" s="7">
        <f>52046-36151</f>
        <v>15895</v>
      </c>
      <c r="L126" s="7">
        <f>28353+27978</f>
        <v>56331</v>
      </c>
      <c r="M126" s="7">
        <f>23397+6786.2</f>
        <v>30183.200000000001</v>
      </c>
      <c r="N126" s="7">
        <f>19485-551</f>
        <v>18934</v>
      </c>
      <c r="O126" s="7">
        <f>39182-3961</f>
        <v>35221</v>
      </c>
      <c r="P126" s="7">
        <f>7811</f>
        <v>7811</v>
      </c>
      <c r="Q126" s="7">
        <f>2392</f>
        <v>2392</v>
      </c>
      <c r="R126" s="7">
        <f>1435+2562</f>
        <v>3997</v>
      </c>
      <c r="S126" s="7">
        <f>2830-21-2223</f>
        <v>586</v>
      </c>
      <c r="T126" s="7"/>
      <c r="U126" s="7"/>
      <c r="V126" s="182" t="s">
        <v>16</v>
      </c>
      <c r="W126" s="183"/>
      <c r="X126" s="184"/>
      <c r="Y126" s="182">
        <v>21802</v>
      </c>
      <c r="Z126" s="183"/>
      <c r="AA126" s="183"/>
      <c r="AB126" s="183"/>
      <c r="AC126" s="183"/>
      <c r="AD126" s="184"/>
    </row>
    <row r="127" spans="1:30" ht="23.25" hidden="1" customHeight="1">
      <c r="A127" s="167"/>
      <c r="B127" s="170"/>
      <c r="C127" s="170"/>
      <c r="D127" s="181"/>
      <c r="E127" s="5"/>
      <c r="F127" s="6" t="s">
        <v>4</v>
      </c>
      <c r="G127" s="7">
        <v>31359</v>
      </c>
      <c r="H127" s="7"/>
      <c r="I127" s="7">
        <f>J127+K127+L127+M127+N127+O127+P127+Q127+R127+S127+T127+U127</f>
        <v>31359</v>
      </c>
      <c r="J127" s="39">
        <f>4000-4000</f>
        <v>0</v>
      </c>
      <c r="K127" s="38">
        <f>1933+4000</f>
        <v>5933</v>
      </c>
      <c r="L127" s="38">
        <v>2935</v>
      </c>
      <c r="M127" s="38">
        <v>2935</v>
      </c>
      <c r="N127" s="38">
        <v>2935</v>
      </c>
      <c r="O127" s="38">
        <v>4626</v>
      </c>
      <c r="P127" s="38">
        <v>0</v>
      </c>
      <c r="Q127" s="38">
        <v>2935</v>
      </c>
      <c r="R127" s="38">
        <v>2935</v>
      </c>
      <c r="S127" s="38">
        <v>2935</v>
      </c>
      <c r="T127" s="38">
        <v>2935</v>
      </c>
      <c r="U127" s="38">
        <f>2935-2680</f>
        <v>255</v>
      </c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23.25" customHeight="1">
      <c r="A128" s="167"/>
      <c r="B128" s="170"/>
      <c r="C128" s="170"/>
      <c r="D128" s="181"/>
      <c r="E128" s="5"/>
      <c r="F128" s="6" t="s">
        <v>82</v>
      </c>
      <c r="G128" s="7"/>
      <c r="H128" s="7"/>
      <c r="I128" s="7">
        <f>J128+K128+L128+M128+N128+O128+P128+Q128+R128+S128+T128+U128</f>
        <v>21802</v>
      </c>
      <c r="J128" s="44">
        <v>0</v>
      </c>
      <c r="K128" s="44">
        <v>3895</v>
      </c>
      <c r="L128" s="44">
        <v>2105</v>
      </c>
      <c r="M128" s="44">
        <v>2105</v>
      </c>
      <c r="N128" s="44">
        <v>2105</v>
      </c>
      <c r="O128" s="44">
        <v>2818</v>
      </c>
      <c r="P128" s="44">
        <v>0</v>
      </c>
      <c r="Q128" s="44">
        <v>354</v>
      </c>
      <c r="R128" s="44">
        <v>2105</v>
      </c>
      <c r="S128" s="44">
        <v>2105</v>
      </c>
      <c r="T128" s="44">
        <v>2105</v>
      </c>
      <c r="U128" s="44">
        <v>2105</v>
      </c>
      <c r="V128" s="182"/>
      <c r="W128" s="183"/>
      <c r="X128" s="184"/>
      <c r="Y128" s="182"/>
      <c r="Z128" s="183"/>
      <c r="AA128" s="183"/>
      <c r="AB128" s="183"/>
      <c r="AC128" s="183"/>
      <c r="AD128" s="184"/>
    </row>
    <row r="129" spans="1:62" ht="23.25" hidden="1" customHeight="1">
      <c r="A129" s="167"/>
      <c r="B129" s="170"/>
      <c r="C129" s="170"/>
      <c r="D129" s="181"/>
      <c r="E129" s="5"/>
      <c r="F129" s="40">
        <v>324</v>
      </c>
      <c r="G129" s="7">
        <v>53132</v>
      </c>
      <c r="H129" s="7"/>
      <c r="I129" s="7">
        <f>J129+K129+L129+M129+N129+O129+P129+Q129+R129+S129+T129+U129</f>
        <v>53132</v>
      </c>
      <c r="J129" s="16">
        <f>4000-4000</f>
        <v>0</v>
      </c>
      <c r="K129" s="74">
        <f>4000+4000</f>
        <v>8000</v>
      </c>
      <c r="L129" s="74">
        <v>4000</v>
      </c>
      <c r="M129" s="74">
        <v>4000</v>
      </c>
      <c r="N129" s="74">
        <v>4000</v>
      </c>
      <c r="O129" s="74">
        <v>4000</v>
      </c>
      <c r="P129" s="74">
        <v>3000</v>
      </c>
      <c r="Q129" s="74">
        <v>3005</v>
      </c>
      <c r="R129" s="74">
        <v>4000</v>
      </c>
      <c r="S129" s="74">
        <f>4000+7127</f>
        <v>11127</v>
      </c>
      <c r="T129" s="74">
        <v>4000</v>
      </c>
      <c r="U129" s="74">
        <v>4000</v>
      </c>
      <c r="V129" s="3"/>
      <c r="W129" s="3"/>
      <c r="X129" s="3"/>
      <c r="Y129" s="3"/>
      <c r="Z129" s="3"/>
      <c r="AA129" s="3"/>
      <c r="AB129" s="3"/>
      <c r="AC129" s="3"/>
      <c r="AD129" s="3"/>
    </row>
    <row r="130" spans="1:62" s="60" customFormat="1" ht="23.25" customHeight="1">
      <c r="A130" s="167"/>
      <c r="B130" s="170"/>
      <c r="C130" s="170"/>
      <c r="D130" s="181"/>
      <c r="E130" s="5">
        <f>E125+1</f>
        <v>23</v>
      </c>
      <c r="F130" s="75" t="s">
        <v>15</v>
      </c>
      <c r="G130" s="7">
        <f>G131+G132+G133+G134</f>
        <v>885263</v>
      </c>
      <c r="H130" s="7">
        <v>467478</v>
      </c>
      <c r="I130" s="7">
        <f>I131</f>
        <v>517359</v>
      </c>
      <c r="J130" s="8">
        <f t="shared" ref="J130:U130" si="24">J131+J132+J133+J134</f>
        <v>37782</v>
      </c>
      <c r="K130" s="7">
        <f t="shared" si="24"/>
        <v>100760</v>
      </c>
      <c r="L130" s="7">
        <f t="shared" si="24"/>
        <v>69271</v>
      </c>
      <c r="M130" s="7">
        <f t="shared" si="24"/>
        <v>69271</v>
      </c>
      <c r="N130" s="7">
        <f t="shared" si="24"/>
        <v>69271</v>
      </c>
      <c r="O130" s="7">
        <f t="shared" si="24"/>
        <v>69271</v>
      </c>
      <c r="P130" s="7">
        <f t="shared" si="24"/>
        <v>95376</v>
      </c>
      <c r="Q130" s="7">
        <f t="shared" si="24"/>
        <v>69271</v>
      </c>
      <c r="R130" s="7">
        <f t="shared" si="24"/>
        <v>107892</v>
      </c>
      <c r="S130" s="7">
        <f t="shared" si="24"/>
        <v>49879</v>
      </c>
      <c r="T130" s="7">
        <f t="shared" si="24"/>
        <v>21543</v>
      </c>
      <c r="U130" s="7">
        <f t="shared" si="24"/>
        <v>60</v>
      </c>
      <c r="V130" s="182" t="s">
        <v>5</v>
      </c>
      <c r="W130" s="183"/>
      <c r="X130" s="184"/>
      <c r="Y130" s="182">
        <v>517359</v>
      </c>
      <c r="Z130" s="183"/>
      <c r="AA130" s="183"/>
      <c r="AB130" s="183"/>
      <c r="AC130" s="183"/>
      <c r="AD130" s="184"/>
    </row>
    <row r="131" spans="1:62" ht="23.25" customHeight="1">
      <c r="A131" s="167"/>
      <c r="B131" s="170"/>
      <c r="C131" s="170"/>
      <c r="D131" s="181"/>
      <c r="E131" s="5"/>
      <c r="F131" s="6" t="s">
        <v>5</v>
      </c>
      <c r="G131" s="7">
        <v>642975</v>
      </c>
      <c r="H131" s="7"/>
      <c r="I131" s="7">
        <f>J131+K131+L131+M131+N131+O131+P131+Q131+R131+S131+T131+U131</f>
        <v>517359</v>
      </c>
      <c r="J131" s="13">
        <v>0</v>
      </c>
      <c r="K131" s="14">
        <v>86518</v>
      </c>
      <c r="L131" s="14">
        <v>43259</v>
      </c>
      <c r="M131" s="14">
        <v>43259</v>
      </c>
      <c r="N131" s="14">
        <v>43259</v>
      </c>
      <c r="O131" s="14">
        <v>43259</v>
      </c>
      <c r="P131" s="14">
        <f>43259+26105</f>
        <v>69364</v>
      </c>
      <c r="Q131" s="14">
        <v>43259</v>
      </c>
      <c r="R131" s="14">
        <f>43259+41510</f>
        <v>84769</v>
      </c>
      <c r="S131" s="14">
        <v>43259</v>
      </c>
      <c r="T131" s="14">
        <f>43259-26105</f>
        <v>17154</v>
      </c>
      <c r="U131" s="14">
        <f>41510-41510</f>
        <v>0</v>
      </c>
      <c r="V131" s="182"/>
      <c r="W131" s="183"/>
      <c r="X131" s="184"/>
      <c r="Y131" s="182"/>
      <c r="Z131" s="183"/>
      <c r="AA131" s="183"/>
      <c r="AB131" s="183"/>
      <c r="AC131" s="183"/>
      <c r="AD131" s="184"/>
    </row>
    <row r="132" spans="1:62" ht="23.25" hidden="1" customHeight="1">
      <c r="A132" s="167"/>
      <c r="B132" s="170"/>
      <c r="C132" s="170"/>
      <c r="D132" s="181"/>
      <c r="E132" s="5"/>
      <c r="F132" s="6" t="s">
        <v>4</v>
      </c>
      <c r="G132" s="76">
        <v>72880</v>
      </c>
      <c r="H132" s="76"/>
      <c r="I132" s="7">
        <f>J132+K132+L132+M132+N132+O132+P132+Q132+R132+S132+T132+U132</f>
        <v>72880</v>
      </c>
      <c r="J132" s="39">
        <f>18390-18390</f>
        <v>0</v>
      </c>
      <c r="K132" s="38">
        <f>31630-18390</f>
        <v>13240</v>
      </c>
      <c r="L132" s="38">
        <v>6620</v>
      </c>
      <c r="M132" s="38">
        <v>6620</v>
      </c>
      <c r="N132" s="38">
        <v>6620</v>
      </c>
      <c r="O132" s="38">
        <v>6620</v>
      </c>
      <c r="P132" s="38">
        <v>6620</v>
      </c>
      <c r="Q132" s="38">
        <v>6620</v>
      </c>
      <c r="R132" s="38">
        <f>6620+2231</f>
        <v>8851</v>
      </c>
      <c r="S132" s="38">
        <v>6620</v>
      </c>
      <c r="T132" s="38">
        <f>6620-2231</f>
        <v>4389</v>
      </c>
      <c r="U132" s="38">
        <f>5576-5516</f>
        <v>60</v>
      </c>
      <c r="V132" s="3"/>
      <c r="W132" s="3"/>
      <c r="X132" s="3"/>
      <c r="Y132" s="3"/>
      <c r="Z132" s="3"/>
      <c r="AA132" s="3"/>
      <c r="AB132" s="3"/>
      <c r="AC132" s="3"/>
      <c r="AD132" s="3"/>
    </row>
    <row r="133" spans="1:62" ht="23.25" hidden="1" customHeight="1">
      <c r="A133" s="167"/>
      <c r="B133" s="170"/>
      <c r="C133" s="170"/>
      <c r="D133" s="181"/>
      <c r="E133" s="5"/>
      <c r="F133" s="6" t="s">
        <v>3</v>
      </c>
      <c r="G133" s="7"/>
      <c r="H133" s="7"/>
      <c r="I133" s="7">
        <f>J133+K133+L133+M133+N133+O133+P133+Q133+R133+S133+T133+U133</f>
        <v>0</v>
      </c>
      <c r="J133" s="13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3"/>
      <c r="W133" s="3"/>
      <c r="X133" s="3"/>
      <c r="Y133" s="3"/>
      <c r="Z133" s="3"/>
      <c r="AA133" s="3"/>
      <c r="AB133" s="3"/>
      <c r="AC133" s="3"/>
      <c r="AD133" s="3"/>
      <c r="BI133" s="77"/>
      <c r="BJ133" s="77"/>
    </row>
    <row r="134" spans="1:62" ht="23.25" hidden="1" customHeight="1">
      <c r="A134" s="167"/>
      <c r="B134" s="170"/>
      <c r="C134" s="170"/>
      <c r="D134" s="181"/>
      <c r="E134" s="5"/>
      <c r="F134" s="40">
        <v>324</v>
      </c>
      <c r="G134" s="7">
        <v>169408</v>
      </c>
      <c r="H134" s="7"/>
      <c r="I134" s="7">
        <f>J134+K134+L134+M134+N134+O134+P134+Q134+R134+S134+T134+U134</f>
        <v>169408</v>
      </c>
      <c r="J134" s="16">
        <f>17542+20240</f>
        <v>37782</v>
      </c>
      <c r="K134" s="74">
        <f>19392-18390</f>
        <v>1002</v>
      </c>
      <c r="L134" s="74">
        <v>19392</v>
      </c>
      <c r="M134" s="74">
        <v>19392</v>
      </c>
      <c r="N134" s="74">
        <v>19392</v>
      </c>
      <c r="O134" s="74">
        <v>19392</v>
      </c>
      <c r="P134" s="74">
        <v>19392</v>
      </c>
      <c r="Q134" s="74">
        <v>19392</v>
      </c>
      <c r="R134" s="74">
        <f>19392-5120</f>
        <v>14272</v>
      </c>
      <c r="S134" s="74"/>
      <c r="T134" s="74"/>
      <c r="U134" s="74"/>
      <c r="V134" s="3"/>
      <c r="W134" s="3"/>
      <c r="X134" s="3"/>
      <c r="Y134" s="3"/>
      <c r="Z134" s="3"/>
      <c r="AA134" s="3"/>
      <c r="AB134" s="3"/>
      <c r="AC134" s="3"/>
      <c r="AD134" s="3"/>
      <c r="BI134" s="77"/>
      <c r="BJ134" s="77"/>
    </row>
    <row r="135" spans="1:62" ht="45.75" customHeight="1">
      <c r="A135" s="167"/>
      <c r="B135" s="170"/>
      <c r="C135" s="170"/>
      <c r="D135" s="181"/>
      <c r="E135" s="5">
        <f>E130+1</f>
        <v>24</v>
      </c>
      <c r="F135" s="71" t="s">
        <v>14</v>
      </c>
      <c r="G135" s="7">
        <f>G136+G137+G138+G139</f>
        <v>822564</v>
      </c>
      <c r="H135" s="7">
        <v>852403</v>
      </c>
      <c r="I135" s="7">
        <f>I136</f>
        <v>547037</v>
      </c>
      <c r="J135" s="8">
        <f t="shared" ref="J135:U135" si="25">J136+J137+J138+J139</f>
        <v>0</v>
      </c>
      <c r="K135" s="7">
        <f t="shared" si="25"/>
        <v>159194</v>
      </c>
      <c r="L135" s="7">
        <f t="shared" si="25"/>
        <v>76369</v>
      </c>
      <c r="M135" s="7">
        <f t="shared" si="25"/>
        <v>92748</v>
      </c>
      <c r="N135" s="7">
        <f t="shared" si="25"/>
        <v>78143</v>
      </c>
      <c r="O135" s="7">
        <f t="shared" si="25"/>
        <v>86744</v>
      </c>
      <c r="P135" s="7">
        <f t="shared" si="25"/>
        <v>74917</v>
      </c>
      <c r="Q135" s="7">
        <f t="shared" si="25"/>
        <v>51507</v>
      </c>
      <c r="R135" s="7">
        <f t="shared" si="25"/>
        <v>91569</v>
      </c>
      <c r="S135" s="7">
        <f t="shared" si="25"/>
        <v>47992</v>
      </c>
      <c r="T135" s="7">
        <f t="shared" si="25"/>
        <v>27040</v>
      </c>
      <c r="U135" s="7">
        <f t="shared" si="25"/>
        <v>7396</v>
      </c>
      <c r="V135" s="182" t="s">
        <v>5</v>
      </c>
      <c r="W135" s="183"/>
      <c r="X135" s="184"/>
      <c r="Y135" s="182">
        <v>547037</v>
      </c>
      <c r="Z135" s="183"/>
      <c r="AA135" s="183"/>
      <c r="AB135" s="183"/>
      <c r="AC135" s="183"/>
      <c r="AD135" s="184"/>
      <c r="BI135" s="77"/>
      <c r="BJ135" s="77"/>
    </row>
    <row r="136" spans="1:62" ht="23.25" customHeight="1">
      <c r="A136" s="167"/>
      <c r="B136" s="170"/>
      <c r="C136" s="170"/>
      <c r="D136" s="181"/>
      <c r="E136" s="5"/>
      <c r="F136" s="6" t="s">
        <v>5</v>
      </c>
      <c r="G136" s="7">
        <v>565569</v>
      </c>
      <c r="H136" s="7"/>
      <c r="I136" s="7">
        <f>J136+K136+L136+M136+N136+O136+P136+Q136+R136+S136+T136+U136</f>
        <v>547037</v>
      </c>
      <c r="J136" s="78">
        <v>0</v>
      </c>
      <c r="K136" s="79">
        <v>105613</v>
      </c>
      <c r="L136" s="79">
        <v>53772</v>
      </c>
      <c r="M136" s="79">
        <v>70151</v>
      </c>
      <c r="N136" s="79">
        <v>55546</v>
      </c>
      <c r="O136" s="79">
        <v>64147</v>
      </c>
      <c r="P136" s="79">
        <v>48679</v>
      </c>
      <c r="Q136" s="79">
        <f>25102+7677</f>
        <v>32779</v>
      </c>
      <c r="R136" s="79">
        <f>38862+26960</f>
        <v>65822</v>
      </c>
      <c r="S136" s="79">
        <v>31242</v>
      </c>
      <c r="T136" s="79">
        <f>26963-7677</f>
        <v>19286</v>
      </c>
      <c r="U136" s="79">
        <f>26960-26960</f>
        <v>0</v>
      </c>
      <c r="V136" s="182"/>
      <c r="W136" s="183"/>
      <c r="X136" s="184"/>
      <c r="Y136" s="182"/>
      <c r="Z136" s="183"/>
      <c r="AA136" s="183"/>
      <c r="AB136" s="183"/>
      <c r="AC136" s="183"/>
      <c r="AD136" s="184"/>
      <c r="BI136" s="77"/>
      <c r="BJ136" s="77"/>
    </row>
    <row r="137" spans="1:62" ht="23.25" hidden="1" customHeight="1">
      <c r="A137" s="167"/>
      <c r="B137" s="170"/>
      <c r="C137" s="170"/>
      <c r="D137" s="181"/>
      <c r="E137" s="5"/>
      <c r="F137" s="6" t="s">
        <v>4</v>
      </c>
      <c r="G137" s="80">
        <v>50140</v>
      </c>
      <c r="H137" s="80"/>
      <c r="I137" s="7">
        <f>J137+K137+L137+M137+N137+O137+P137+Q137+R137+S137+T137+U137</f>
        <v>48400</v>
      </c>
      <c r="J137" s="39">
        <f>18993-18993</f>
        <v>0</v>
      </c>
      <c r="K137" s="38">
        <f>-3398+18993</f>
        <v>15595</v>
      </c>
      <c r="L137" s="38">
        <v>3604</v>
      </c>
      <c r="M137" s="38">
        <v>3604</v>
      </c>
      <c r="N137" s="38">
        <v>3604</v>
      </c>
      <c r="O137" s="38">
        <v>3604</v>
      </c>
      <c r="P137" s="38">
        <f>6779+634</f>
        <v>7413</v>
      </c>
      <c r="Q137" s="38">
        <v>759</v>
      </c>
      <c r="R137" s="38">
        <v>2713</v>
      </c>
      <c r="S137" s="38">
        <v>2712</v>
      </c>
      <c r="T137" s="38">
        <v>2713</v>
      </c>
      <c r="U137" s="38">
        <f>2713-634</f>
        <v>2079</v>
      </c>
      <c r="V137" s="3"/>
      <c r="W137" s="3"/>
      <c r="X137" s="3"/>
      <c r="Y137" s="3"/>
      <c r="Z137" s="3"/>
      <c r="AA137" s="3"/>
      <c r="AB137" s="3"/>
      <c r="AC137" s="3"/>
      <c r="AD137" s="3"/>
      <c r="BI137" s="77"/>
      <c r="BJ137" s="77"/>
    </row>
    <row r="138" spans="1:62" ht="23.25" hidden="1" customHeight="1">
      <c r="A138" s="167"/>
      <c r="B138" s="170"/>
      <c r="C138" s="170"/>
      <c r="D138" s="181"/>
      <c r="E138" s="5"/>
      <c r="F138" s="6" t="s">
        <v>3</v>
      </c>
      <c r="G138" s="7"/>
      <c r="H138" s="7"/>
      <c r="I138" s="7">
        <f>J138+K138+L138+M138+N138+O138+P138+Q138+R138+S138+T138+U138</f>
        <v>0</v>
      </c>
      <c r="J138" s="47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3"/>
      <c r="W138" s="3"/>
      <c r="X138" s="3"/>
      <c r="Y138" s="3"/>
      <c r="Z138" s="3"/>
      <c r="AA138" s="3"/>
      <c r="AB138" s="3"/>
      <c r="AC138" s="3"/>
      <c r="AD138" s="3"/>
      <c r="BI138" s="73"/>
      <c r="BJ138" s="81"/>
    </row>
    <row r="139" spans="1:62" ht="23.25" hidden="1" customHeight="1">
      <c r="A139" s="167"/>
      <c r="B139" s="170"/>
      <c r="C139" s="170"/>
      <c r="D139" s="181"/>
      <c r="E139" s="5"/>
      <c r="F139" s="40">
        <v>324</v>
      </c>
      <c r="G139" s="7">
        <v>206855</v>
      </c>
      <c r="H139" s="7"/>
      <c r="I139" s="7">
        <f>J139+K139+L139+M139+N139+O139+P139+Q139+R139+S139+T139+U139</f>
        <v>198182</v>
      </c>
      <c r="J139" s="82">
        <f>18993-18993</f>
        <v>0</v>
      </c>
      <c r="K139" s="83">
        <f>18993+18993</f>
        <v>37986</v>
      </c>
      <c r="L139" s="83">
        <v>18993</v>
      </c>
      <c r="M139" s="83">
        <v>18993</v>
      </c>
      <c r="N139" s="83">
        <v>18993</v>
      </c>
      <c r="O139" s="83">
        <v>18993</v>
      </c>
      <c r="P139" s="83">
        <f>14037+4788</f>
        <v>18825</v>
      </c>
      <c r="Q139" s="83">
        <f>14037+3932</f>
        <v>17969</v>
      </c>
      <c r="R139" s="83">
        <f>14038+8996</f>
        <v>23034</v>
      </c>
      <c r="S139" s="83">
        <v>14038</v>
      </c>
      <c r="T139" s="83">
        <f>14037-8996</f>
        <v>5041</v>
      </c>
      <c r="U139" s="84">
        <f>14037-4788-3932</f>
        <v>5317</v>
      </c>
      <c r="V139" s="3"/>
      <c r="W139" s="3"/>
      <c r="X139" s="3"/>
      <c r="Y139" s="3"/>
      <c r="Z139" s="3"/>
      <c r="AA139" s="3"/>
      <c r="AB139" s="3"/>
      <c r="AC139" s="3"/>
      <c r="AD139" s="3"/>
      <c r="BI139" s="73"/>
      <c r="BJ139" s="81"/>
    </row>
    <row r="140" spans="1:62" s="60" customFormat="1" ht="51" customHeight="1">
      <c r="A140" s="167"/>
      <c r="B140" s="170"/>
      <c r="C140" s="170"/>
      <c r="D140" s="181"/>
      <c r="E140" s="5">
        <f>E135+1</f>
        <v>25</v>
      </c>
      <c r="F140" s="71" t="s">
        <v>13</v>
      </c>
      <c r="G140" s="7">
        <f>G141+G142+G143+G144</f>
        <v>189985</v>
      </c>
      <c r="H140" s="7">
        <v>225036</v>
      </c>
      <c r="I140" s="7">
        <f>I141</f>
        <v>129811</v>
      </c>
      <c r="J140" s="8">
        <f t="shared" ref="J140:U140" si="26">J141+J142+J143+J144</f>
        <v>8502</v>
      </c>
      <c r="K140" s="7">
        <f t="shared" si="26"/>
        <v>34462</v>
      </c>
      <c r="L140" s="7">
        <f t="shared" si="26"/>
        <v>18384</v>
      </c>
      <c r="M140" s="7">
        <f t="shared" si="26"/>
        <v>18380</v>
      </c>
      <c r="N140" s="7">
        <f t="shared" si="26"/>
        <v>18384</v>
      </c>
      <c r="O140" s="7">
        <f t="shared" si="26"/>
        <v>19750</v>
      </c>
      <c r="P140" s="7">
        <f t="shared" si="26"/>
        <v>11938</v>
      </c>
      <c r="Q140" s="7">
        <f t="shared" si="26"/>
        <v>11938</v>
      </c>
      <c r="R140" s="7">
        <f t="shared" si="26"/>
        <v>12267</v>
      </c>
      <c r="S140" s="7">
        <f t="shared" si="26"/>
        <v>12262</v>
      </c>
      <c r="T140" s="7">
        <f t="shared" si="26"/>
        <v>12258</v>
      </c>
      <c r="U140" s="7">
        <f t="shared" si="26"/>
        <v>11146</v>
      </c>
      <c r="V140" s="182" t="s">
        <v>5</v>
      </c>
      <c r="W140" s="183"/>
      <c r="X140" s="184"/>
      <c r="Y140" s="182">
        <v>129811</v>
      </c>
      <c r="Z140" s="183"/>
      <c r="AA140" s="183"/>
      <c r="AB140" s="183"/>
      <c r="AC140" s="183"/>
      <c r="AD140" s="184"/>
      <c r="BI140" s="73"/>
      <c r="BJ140" s="81"/>
    </row>
    <row r="141" spans="1:62" ht="23.25" customHeight="1">
      <c r="A141" s="167"/>
      <c r="B141" s="170"/>
      <c r="C141" s="170"/>
      <c r="D141" s="181"/>
      <c r="E141" s="5"/>
      <c r="F141" s="6" t="s">
        <v>5</v>
      </c>
      <c r="G141" s="7">
        <v>129814</v>
      </c>
      <c r="H141" s="7"/>
      <c r="I141" s="7">
        <f>J141+K141+L141+M141+N141+O141+P141+Q141+R141+S141+T141+U141</f>
        <v>129811</v>
      </c>
      <c r="J141" s="43">
        <v>0</v>
      </c>
      <c r="K141" s="26">
        <v>28298</v>
      </c>
      <c r="L141" s="26">
        <v>12714</v>
      </c>
      <c r="M141" s="26">
        <v>12713</v>
      </c>
      <c r="N141" s="26">
        <v>12714</v>
      </c>
      <c r="O141" s="26">
        <v>12714</v>
      </c>
      <c r="P141" s="26">
        <v>8443</v>
      </c>
      <c r="Q141" s="26">
        <f>8443</f>
        <v>8443</v>
      </c>
      <c r="R141" s="26">
        <v>8443</v>
      </c>
      <c r="S141" s="26">
        <v>8443</v>
      </c>
      <c r="T141" s="26">
        <v>8443</v>
      </c>
      <c r="U141" s="26">
        <v>8443</v>
      </c>
      <c r="V141" s="182"/>
      <c r="W141" s="183"/>
      <c r="X141" s="184"/>
      <c r="Y141" s="182"/>
      <c r="Z141" s="183"/>
      <c r="AA141" s="183"/>
      <c r="AB141" s="183"/>
      <c r="AC141" s="183"/>
      <c r="AD141" s="184"/>
      <c r="BI141" s="77"/>
      <c r="BJ141" s="77"/>
    </row>
    <row r="142" spans="1:62" ht="23.25" hidden="1" customHeight="1">
      <c r="A142" s="167"/>
      <c r="B142" s="170"/>
      <c r="C142" s="170"/>
      <c r="D142" s="181"/>
      <c r="E142" s="5"/>
      <c r="F142" s="6" t="s">
        <v>4</v>
      </c>
      <c r="G142" s="70">
        <v>8972</v>
      </c>
      <c r="H142" s="70"/>
      <c r="I142" s="7">
        <f>J142+K142+L142+M142+N142+O142+P142+Q142+R142+S142+T142+U142</f>
        <v>8661</v>
      </c>
      <c r="J142" s="39">
        <f>2800-2800</f>
        <v>0</v>
      </c>
      <c r="K142" s="38">
        <f>6063-2800</f>
        <v>3263</v>
      </c>
      <c r="L142" s="38">
        <v>530</v>
      </c>
      <c r="M142" s="38">
        <v>527</v>
      </c>
      <c r="N142" s="38">
        <v>530</v>
      </c>
      <c r="O142" s="38">
        <v>1896</v>
      </c>
      <c r="P142" s="38">
        <v>103</v>
      </c>
      <c r="Q142" s="38">
        <v>103</v>
      </c>
      <c r="R142" s="38">
        <v>432</v>
      </c>
      <c r="S142" s="38">
        <v>427</v>
      </c>
      <c r="T142" s="38">
        <v>423</v>
      </c>
      <c r="U142" s="38">
        <v>427</v>
      </c>
      <c r="V142" s="3"/>
      <c r="W142" s="3"/>
      <c r="X142" s="3"/>
      <c r="Y142" s="3"/>
      <c r="Z142" s="3"/>
      <c r="AA142" s="3"/>
      <c r="AB142" s="3"/>
      <c r="AC142" s="3"/>
      <c r="AD142" s="3"/>
      <c r="BI142" s="77"/>
      <c r="BJ142" s="77"/>
    </row>
    <row r="143" spans="1:62" ht="23.25" hidden="1" customHeight="1">
      <c r="A143" s="167"/>
      <c r="B143" s="170"/>
      <c r="C143" s="170"/>
      <c r="D143" s="181"/>
      <c r="E143" s="5"/>
      <c r="F143" s="6" t="s">
        <v>3</v>
      </c>
      <c r="G143" s="7"/>
      <c r="H143" s="7"/>
      <c r="I143" s="7">
        <f>J143+K143+L143+M143+N143+O143+P143+Q143+R143+S143+T143+U143</f>
        <v>0</v>
      </c>
      <c r="J143" s="13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3"/>
      <c r="W143" s="3"/>
      <c r="X143" s="3"/>
      <c r="Y143" s="3"/>
      <c r="Z143" s="3"/>
      <c r="AA143" s="3"/>
      <c r="AB143" s="3"/>
      <c r="AC143" s="3"/>
      <c r="AD143" s="3"/>
      <c r="BI143" s="77"/>
      <c r="BJ143" s="77"/>
    </row>
    <row r="144" spans="1:62" ht="23.25" hidden="1" customHeight="1">
      <c r="A144" s="167"/>
      <c r="B144" s="170"/>
      <c r="C144" s="170"/>
      <c r="D144" s="181"/>
      <c r="E144" s="5"/>
      <c r="F144" s="40">
        <v>324</v>
      </c>
      <c r="G144" s="7">
        <v>51199</v>
      </c>
      <c r="H144" s="7"/>
      <c r="I144" s="7">
        <f>J144+K144+L144+M144+N144+O144+P144+Q144+R144+S144+T144+U144</f>
        <v>51199</v>
      </c>
      <c r="J144" s="27">
        <f>5702+2800</f>
        <v>8502</v>
      </c>
      <c r="K144" s="85">
        <f>5701-2800</f>
        <v>2901</v>
      </c>
      <c r="L144" s="85">
        <v>5140</v>
      </c>
      <c r="M144" s="85">
        <v>5140</v>
      </c>
      <c r="N144" s="85">
        <v>5140</v>
      </c>
      <c r="O144" s="85">
        <v>5140</v>
      </c>
      <c r="P144" s="85">
        <v>3392</v>
      </c>
      <c r="Q144" s="85">
        <v>3392</v>
      </c>
      <c r="R144" s="85">
        <v>3392</v>
      </c>
      <c r="S144" s="85">
        <v>3392</v>
      </c>
      <c r="T144" s="85">
        <v>3392</v>
      </c>
      <c r="U144" s="85">
        <f>3392-1116</f>
        <v>2276</v>
      </c>
      <c r="V144" s="3"/>
      <c r="W144" s="3"/>
      <c r="X144" s="3"/>
      <c r="Y144" s="3"/>
      <c r="Z144" s="3"/>
      <c r="AA144" s="3"/>
      <c r="AB144" s="3"/>
      <c r="AC144" s="3"/>
      <c r="AD144" s="3"/>
      <c r="BI144" s="77"/>
      <c r="BJ144" s="77"/>
    </row>
    <row r="145" spans="1:62" s="60" customFormat="1" ht="23.25" customHeight="1">
      <c r="A145" s="167"/>
      <c r="B145" s="170"/>
      <c r="C145" s="170"/>
      <c r="D145" s="181"/>
      <c r="E145" s="5">
        <f>E140+1</f>
        <v>26</v>
      </c>
      <c r="F145" s="86" t="s">
        <v>12</v>
      </c>
      <c r="G145" s="7">
        <f>G146+G147+G148+G149</f>
        <v>86322</v>
      </c>
      <c r="H145" s="7">
        <v>115864</v>
      </c>
      <c r="I145" s="7">
        <f>I146</f>
        <v>66396</v>
      </c>
      <c r="J145" s="8">
        <f t="shared" ref="J145:U145" si="27">J146+J147+J148+J149</f>
        <v>2884</v>
      </c>
      <c r="K145" s="7">
        <f t="shared" si="27"/>
        <v>16728</v>
      </c>
      <c r="L145" s="7">
        <f t="shared" si="27"/>
        <v>9216</v>
      </c>
      <c r="M145" s="7">
        <f t="shared" si="27"/>
        <v>9215</v>
      </c>
      <c r="N145" s="7">
        <f t="shared" si="27"/>
        <v>9216</v>
      </c>
      <c r="O145" s="7">
        <f t="shared" si="27"/>
        <v>9215</v>
      </c>
      <c r="P145" s="7">
        <f t="shared" si="27"/>
        <v>5384</v>
      </c>
      <c r="Q145" s="7">
        <f t="shared" si="27"/>
        <v>4777</v>
      </c>
      <c r="R145" s="7">
        <f t="shared" si="27"/>
        <v>4938</v>
      </c>
      <c r="S145" s="7">
        <f t="shared" si="27"/>
        <v>4939</v>
      </c>
      <c r="T145" s="7">
        <f t="shared" si="27"/>
        <v>4938</v>
      </c>
      <c r="U145" s="7">
        <f t="shared" si="27"/>
        <v>4547</v>
      </c>
      <c r="V145" s="182" t="s">
        <v>5</v>
      </c>
      <c r="W145" s="183"/>
      <c r="X145" s="184"/>
      <c r="Y145" s="182">
        <v>66396</v>
      </c>
      <c r="Z145" s="183"/>
      <c r="AA145" s="183"/>
      <c r="AB145" s="183"/>
      <c r="AC145" s="183"/>
      <c r="AD145" s="184"/>
      <c r="BI145" s="87"/>
      <c r="BJ145" s="87"/>
    </row>
    <row r="146" spans="1:62" ht="23.25" customHeight="1">
      <c r="A146" s="167"/>
      <c r="B146" s="170"/>
      <c r="C146" s="170"/>
      <c r="D146" s="181"/>
      <c r="E146" s="5"/>
      <c r="F146" s="6" t="s">
        <v>5</v>
      </c>
      <c r="G146" s="7">
        <v>66396</v>
      </c>
      <c r="H146" s="7"/>
      <c r="I146" s="7">
        <f>J146+K146+L146+M146+N146+O146+P146+Q146+R146+S146+T146+U146</f>
        <v>66396</v>
      </c>
      <c r="J146" s="13">
        <v>0</v>
      </c>
      <c r="K146" s="14">
        <v>14641</v>
      </c>
      <c r="L146" s="14">
        <v>7320</v>
      </c>
      <c r="M146" s="14">
        <v>7320</v>
      </c>
      <c r="N146" s="14">
        <v>7320</v>
      </c>
      <c r="O146" s="14">
        <v>7320</v>
      </c>
      <c r="P146" s="14">
        <v>3746</v>
      </c>
      <c r="Q146" s="14">
        <v>3746</v>
      </c>
      <c r="R146" s="14">
        <v>3746</v>
      </c>
      <c r="S146" s="14">
        <v>3746</v>
      </c>
      <c r="T146" s="14">
        <v>3745</v>
      </c>
      <c r="U146" s="14">
        <v>3746</v>
      </c>
      <c r="V146" s="182"/>
      <c r="W146" s="183"/>
      <c r="X146" s="184"/>
      <c r="Y146" s="182"/>
      <c r="Z146" s="183"/>
      <c r="AA146" s="183"/>
      <c r="AB146" s="183"/>
      <c r="AC146" s="183"/>
      <c r="AD146" s="184"/>
    </row>
    <row r="147" spans="1:62" ht="23.25" hidden="1" customHeight="1">
      <c r="A147" s="167"/>
      <c r="B147" s="170"/>
      <c r="C147" s="170"/>
      <c r="D147" s="181"/>
      <c r="E147" s="5"/>
      <c r="F147" s="6" t="s">
        <v>4</v>
      </c>
      <c r="G147" s="70">
        <v>4752</v>
      </c>
      <c r="H147" s="70"/>
      <c r="I147" s="7">
        <f>J147+K147+L147+M147+N147+O147+P147+Q147+R147+S147+T147+U147</f>
        <v>4427</v>
      </c>
      <c r="J147" s="39">
        <f>1300-1300</f>
        <v>0</v>
      </c>
      <c r="K147" s="38">
        <f>3107-1300</f>
        <v>1807</v>
      </c>
      <c r="L147" s="38">
        <v>312</v>
      </c>
      <c r="M147" s="38">
        <v>311</v>
      </c>
      <c r="N147" s="38">
        <v>312</v>
      </c>
      <c r="O147" s="38">
        <v>311</v>
      </c>
      <c r="P147" s="38">
        <v>627</v>
      </c>
      <c r="Q147" s="38">
        <v>20</v>
      </c>
      <c r="R147" s="38">
        <v>181</v>
      </c>
      <c r="S147" s="38">
        <v>182</v>
      </c>
      <c r="T147" s="38">
        <v>182</v>
      </c>
      <c r="U147" s="38">
        <v>182</v>
      </c>
      <c r="V147" s="3"/>
      <c r="W147" s="3"/>
      <c r="X147" s="3"/>
      <c r="Y147" s="3"/>
      <c r="Z147" s="3"/>
      <c r="AA147" s="3"/>
      <c r="AB147" s="3"/>
      <c r="AC147" s="3"/>
      <c r="AD147" s="3"/>
    </row>
    <row r="148" spans="1:62" ht="23.25" hidden="1" customHeight="1">
      <c r="A148" s="167"/>
      <c r="B148" s="170"/>
      <c r="C148" s="170"/>
      <c r="D148" s="181"/>
      <c r="E148" s="5"/>
      <c r="F148" s="6" t="s">
        <v>3</v>
      </c>
      <c r="G148" s="7"/>
      <c r="H148" s="7"/>
      <c r="I148" s="7">
        <f>J148+K148+L148+M148+N148+O148+P148+Q148+R148+S148+T148+U148</f>
        <v>0</v>
      </c>
      <c r="J148" s="13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3"/>
      <c r="W148" s="3"/>
      <c r="X148" s="3"/>
      <c r="Y148" s="3"/>
      <c r="Z148" s="3"/>
      <c r="AA148" s="3"/>
      <c r="AB148" s="3"/>
      <c r="AC148" s="3"/>
      <c r="AD148" s="3"/>
    </row>
    <row r="149" spans="1:62" ht="23.25" hidden="1" customHeight="1">
      <c r="A149" s="167"/>
      <c r="B149" s="170"/>
      <c r="C149" s="170"/>
      <c r="D149" s="181"/>
      <c r="E149" s="5"/>
      <c r="F149" s="40">
        <v>324</v>
      </c>
      <c r="G149" s="7">
        <v>15174</v>
      </c>
      <c r="H149" s="7"/>
      <c r="I149" s="7">
        <f>J149+K149+L149+M149+N149+O149+P149+Q149+R149+S149+T149+U149</f>
        <v>15174</v>
      </c>
      <c r="J149" s="27">
        <f>1584+1300</f>
        <v>2884</v>
      </c>
      <c r="K149" s="85">
        <f>1580-1300</f>
        <v>280</v>
      </c>
      <c r="L149" s="85">
        <v>1584</v>
      </c>
      <c r="M149" s="85">
        <v>1584</v>
      </c>
      <c r="N149" s="85">
        <v>1584</v>
      </c>
      <c r="O149" s="85">
        <v>1584</v>
      </c>
      <c r="P149" s="85">
        <v>1011</v>
      </c>
      <c r="Q149" s="85">
        <v>1011</v>
      </c>
      <c r="R149" s="85">
        <v>1011</v>
      </c>
      <c r="S149" s="85">
        <v>1011</v>
      </c>
      <c r="T149" s="85">
        <v>1011</v>
      </c>
      <c r="U149" s="85">
        <f>1011-392</f>
        <v>619</v>
      </c>
      <c r="V149" s="3"/>
      <c r="W149" s="3"/>
      <c r="X149" s="3"/>
      <c r="Y149" s="3"/>
      <c r="Z149" s="3"/>
      <c r="AA149" s="3"/>
      <c r="AB149" s="3"/>
      <c r="AC149" s="3"/>
      <c r="AD149" s="3"/>
    </row>
    <row r="150" spans="1:62" s="60" customFormat="1" ht="41.25" customHeight="1">
      <c r="A150" s="167"/>
      <c r="B150" s="170"/>
      <c r="C150" s="170"/>
      <c r="D150" s="181"/>
      <c r="E150" s="5">
        <f>E145+1</f>
        <v>27</v>
      </c>
      <c r="F150" s="6" t="s">
        <v>11</v>
      </c>
      <c r="G150" s="7">
        <f>G151+G152+G153+G154</f>
        <v>331878</v>
      </c>
      <c r="H150" s="7">
        <v>292080</v>
      </c>
      <c r="I150" s="7">
        <f>I151</f>
        <v>225276</v>
      </c>
      <c r="J150" s="8">
        <f t="shared" ref="J150:U150" si="28">J151+J152+J153+J154</f>
        <v>22077</v>
      </c>
      <c r="K150" s="7">
        <f t="shared" si="28"/>
        <v>34334</v>
      </c>
      <c r="L150" s="7">
        <f t="shared" si="28"/>
        <v>25884</v>
      </c>
      <c r="M150" s="7">
        <f t="shared" si="28"/>
        <v>26374</v>
      </c>
      <c r="N150" s="7">
        <f t="shared" si="28"/>
        <v>29042</v>
      </c>
      <c r="O150" s="7">
        <f t="shared" si="28"/>
        <v>46677</v>
      </c>
      <c r="P150" s="7">
        <f t="shared" si="28"/>
        <v>37649</v>
      </c>
      <c r="Q150" s="7">
        <f t="shared" si="28"/>
        <v>26374</v>
      </c>
      <c r="R150" s="7">
        <f t="shared" si="28"/>
        <v>29130</v>
      </c>
      <c r="S150" s="7">
        <f t="shared" si="28"/>
        <v>20435</v>
      </c>
      <c r="T150" s="7">
        <f t="shared" si="28"/>
        <v>19969</v>
      </c>
      <c r="U150" s="7">
        <f t="shared" si="28"/>
        <v>710</v>
      </c>
      <c r="V150" s="182" t="s">
        <v>5</v>
      </c>
      <c r="W150" s="183"/>
      <c r="X150" s="184"/>
      <c r="Y150" s="182">
        <v>225276</v>
      </c>
      <c r="Z150" s="183"/>
      <c r="AA150" s="183"/>
      <c r="AB150" s="183"/>
      <c r="AC150" s="183"/>
      <c r="AD150" s="184"/>
    </row>
    <row r="151" spans="1:62" ht="23.25" customHeight="1">
      <c r="A151" s="167"/>
      <c r="B151" s="170"/>
      <c r="C151" s="170"/>
      <c r="D151" s="181"/>
      <c r="E151" s="5"/>
      <c r="F151" s="6" t="s">
        <v>5</v>
      </c>
      <c r="G151" s="7">
        <v>238249</v>
      </c>
      <c r="H151" s="7"/>
      <c r="I151" s="7">
        <f>J151+K151+L151+M151+N151+O151+P151+Q151+R151+S151+T151+U151</f>
        <v>225276</v>
      </c>
      <c r="J151" s="88">
        <v>0</v>
      </c>
      <c r="K151" s="89">
        <v>34334</v>
      </c>
      <c r="L151" s="89">
        <v>16600</v>
      </c>
      <c r="M151" s="89">
        <v>17157</v>
      </c>
      <c r="N151" s="89">
        <v>19825</v>
      </c>
      <c r="O151" s="89">
        <f>17714+19746</f>
        <v>37460</v>
      </c>
      <c r="P151" s="89">
        <v>25286</v>
      </c>
      <c r="Q151" s="89">
        <v>17157</v>
      </c>
      <c r="R151" s="89">
        <v>19913</v>
      </c>
      <c r="S151" s="89">
        <v>17157</v>
      </c>
      <c r="T151" s="89">
        <v>19823</v>
      </c>
      <c r="U151" s="89">
        <f>20310-19746</f>
        <v>564</v>
      </c>
      <c r="V151" s="182"/>
      <c r="W151" s="183"/>
      <c r="X151" s="184"/>
      <c r="Y151" s="182"/>
      <c r="Z151" s="183"/>
      <c r="AA151" s="183"/>
      <c r="AB151" s="183"/>
      <c r="AC151" s="183"/>
      <c r="AD151" s="184"/>
    </row>
    <row r="152" spans="1:62" ht="23.25" hidden="1" customHeight="1">
      <c r="A152" s="167"/>
      <c r="B152" s="170"/>
      <c r="C152" s="170"/>
      <c r="D152" s="181"/>
      <c r="E152" s="5"/>
      <c r="F152" s="6" t="s">
        <v>4</v>
      </c>
      <c r="G152" s="7">
        <v>8852</v>
      </c>
      <c r="H152" s="7"/>
      <c r="I152" s="7">
        <f>J152+K152+L152+M152+N152+O152+P152+Q152+R152+S152+T152+U152</f>
        <v>8602</v>
      </c>
      <c r="J152" s="39">
        <f>13000-13000</f>
        <v>0</v>
      </c>
      <c r="K152" s="38">
        <f>12510-12510</f>
        <v>0</v>
      </c>
      <c r="L152" s="38">
        <f>4632-490</f>
        <v>4142</v>
      </c>
      <c r="M152" s="38">
        <v>146</v>
      </c>
      <c r="N152" s="38">
        <v>146</v>
      </c>
      <c r="O152" s="38">
        <v>146</v>
      </c>
      <c r="P152" s="38">
        <v>3292</v>
      </c>
      <c r="Q152" s="38">
        <v>146</v>
      </c>
      <c r="R152" s="38">
        <v>146</v>
      </c>
      <c r="S152" s="38">
        <v>146</v>
      </c>
      <c r="T152" s="38">
        <v>146</v>
      </c>
      <c r="U152" s="38">
        <v>146</v>
      </c>
      <c r="V152" s="3"/>
      <c r="W152" s="3"/>
      <c r="X152" s="3"/>
      <c r="Y152" s="3"/>
      <c r="Z152" s="3"/>
      <c r="AA152" s="3"/>
      <c r="AB152" s="3"/>
      <c r="AC152" s="3"/>
      <c r="AD152" s="3"/>
    </row>
    <row r="153" spans="1:62" ht="23.25" hidden="1" customHeight="1">
      <c r="A153" s="167"/>
      <c r="B153" s="170"/>
      <c r="C153" s="170"/>
      <c r="D153" s="181"/>
      <c r="E153" s="5"/>
      <c r="F153" s="6" t="s">
        <v>3</v>
      </c>
      <c r="G153" s="7"/>
      <c r="H153" s="7"/>
      <c r="I153" s="7">
        <f>J153+K153+L153+M153+N153+O153+P153+Q153+R153+S153+T153+U153</f>
        <v>0</v>
      </c>
      <c r="J153" s="88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3"/>
      <c r="W153" s="3"/>
      <c r="X153" s="3"/>
      <c r="Y153" s="3"/>
      <c r="Z153" s="3"/>
      <c r="AA153" s="3"/>
      <c r="AB153" s="3"/>
      <c r="AC153" s="3"/>
      <c r="AD153" s="3"/>
    </row>
    <row r="154" spans="1:62" ht="23.25" hidden="1" customHeight="1">
      <c r="A154" s="167"/>
      <c r="B154" s="170"/>
      <c r="C154" s="170"/>
      <c r="D154" s="181"/>
      <c r="E154" s="5"/>
      <c r="F154" s="40">
        <v>324</v>
      </c>
      <c r="G154" s="7">
        <v>84777</v>
      </c>
      <c r="H154" s="7"/>
      <c r="I154" s="7">
        <f>J154+K154+L154+M154+N154+O154+P154+Q154+R154+S154+T154+U154</f>
        <v>84777</v>
      </c>
      <c r="J154" s="16">
        <f>9077+13000</f>
        <v>22077</v>
      </c>
      <c r="K154" s="74">
        <f>9071-9071</f>
        <v>0</v>
      </c>
      <c r="L154" s="74">
        <f>9071-3929</f>
        <v>5142</v>
      </c>
      <c r="M154" s="74">
        <v>9071</v>
      </c>
      <c r="N154" s="74">
        <v>9071</v>
      </c>
      <c r="O154" s="74">
        <v>9071</v>
      </c>
      <c r="P154" s="74">
        <v>9071</v>
      </c>
      <c r="Q154" s="74">
        <v>9071</v>
      </c>
      <c r="R154" s="74">
        <v>9071</v>
      </c>
      <c r="S154" s="74">
        <f>9071-5939</f>
        <v>3132</v>
      </c>
      <c r="T154" s="74"/>
      <c r="U154" s="74"/>
      <c r="V154" s="3"/>
      <c r="W154" s="3"/>
      <c r="X154" s="3"/>
      <c r="Y154" s="3"/>
      <c r="Z154" s="3"/>
      <c r="AA154" s="3"/>
      <c r="AB154" s="3"/>
      <c r="AC154" s="3"/>
      <c r="AD154" s="3"/>
    </row>
    <row r="155" spans="1:62" s="60" customFormat="1" ht="23.25" customHeight="1">
      <c r="A155" s="167"/>
      <c r="B155" s="170"/>
      <c r="C155" s="170"/>
      <c r="D155" s="181"/>
      <c r="E155" s="5">
        <f>E150+1</f>
        <v>28</v>
      </c>
      <c r="F155" s="6" t="s">
        <v>10</v>
      </c>
      <c r="G155" s="7">
        <f>G156+G157+G158+G159</f>
        <v>63004</v>
      </c>
      <c r="H155" s="7">
        <v>76393</v>
      </c>
      <c r="I155" s="7">
        <f>I156</f>
        <v>44023</v>
      </c>
      <c r="J155" s="8">
        <f t="shared" ref="J155:U155" si="29">J156+J157+J158+J159</f>
        <v>4480</v>
      </c>
      <c r="K155" s="7">
        <f t="shared" si="29"/>
        <v>12476</v>
      </c>
      <c r="L155" s="7">
        <f t="shared" si="29"/>
        <v>7461</v>
      </c>
      <c r="M155" s="7">
        <f t="shared" si="29"/>
        <v>7864</v>
      </c>
      <c r="N155" s="7">
        <f t="shared" si="29"/>
        <v>7863</v>
      </c>
      <c r="O155" s="7">
        <f t="shared" si="29"/>
        <v>7133</v>
      </c>
      <c r="P155" s="7">
        <f t="shared" si="29"/>
        <v>5637</v>
      </c>
      <c r="Q155" s="7">
        <f t="shared" si="29"/>
        <v>1974</v>
      </c>
      <c r="R155" s="7">
        <f t="shared" si="29"/>
        <v>3343</v>
      </c>
      <c r="S155" s="7">
        <f t="shared" si="29"/>
        <v>2513</v>
      </c>
      <c r="T155" s="7">
        <f t="shared" si="29"/>
        <v>813</v>
      </c>
      <c r="U155" s="7">
        <f t="shared" si="29"/>
        <v>732</v>
      </c>
      <c r="V155" s="182" t="s">
        <v>5</v>
      </c>
      <c r="W155" s="183"/>
      <c r="X155" s="184"/>
      <c r="Y155" s="182">
        <v>44023</v>
      </c>
      <c r="Z155" s="183"/>
      <c r="AA155" s="183"/>
      <c r="AB155" s="183"/>
      <c r="AC155" s="183"/>
      <c r="AD155" s="184"/>
    </row>
    <row r="156" spans="1:62" ht="23.25" customHeight="1">
      <c r="A156" s="167"/>
      <c r="B156" s="170"/>
      <c r="C156" s="170"/>
      <c r="D156" s="181"/>
      <c r="E156" s="90"/>
      <c r="F156" s="6" t="s">
        <v>5</v>
      </c>
      <c r="G156" s="7">
        <v>44023</v>
      </c>
      <c r="H156" s="7"/>
      <c r="I156" s="7">
        <f>J156+K156+L156+M156+N156+O156+P156+Q156+R156+S156+T156+U156</f>
        <v>44023</v>
      </c>
      <c r="J156" s="13">
        <v>0</v>
      </c>
      <c r="K156" s="14">
        <v>12476</v>
      </c>
      <c r="L156" s="14">
        <f>6184+1</f>
        <v>6185</v>
      </c>
      <c r="M156" s="14">
        <v>6184</v>
      </c>
      <c r="N156" s="14">
        <v>6183</v>
      </c>
      <c r="O156" s="14">
        <f>15137-10401</f>
        <v>4736</v>
      </c>
      <c r="P156" s="14">
        <v>2277</v>
      </c>
      <c r="Q156" s="14">
        <v>1974</v>
      </c>
      <c r="R156" s="14">
        <v>1663</v>
      </c>
      <c r="S156" s="14">
        <v>833</v>
      </c>
      <c r="T156" s="14">
        <v>780</v>
      </c>
      <c r="U156" s="14">
        <f>733-1</f>
        <v>732</v>
      </c>
      <c r="V156" s="182"/>
      <c r="W156" s="183"/>
      <c r="X156" s="184"/>
      <c r="Y156" s="182"/>
      <c r="Z156" s="183"/>
      <c r="AA156" s="183"/>
      <c r="AB156" s="183"/>
      <c r="AC156" s="183"/>
      <c r="AD156" s="184"/>
    </row>
    <row r="157" spans="1:62" ht="23.25" hidden="1" customHeight="1">
      <c r="A157" s="167"/>
      <c r="B157" s="170"/>
      <c r="C157" s="170"/>
      <c r="D157" s="181"/>
      <c r="E157" s="90"/>
      <c r="F157" s="6" t="s">
        <v>4</v>
      </c>
      <c r="G157" s="8">
        <v>2148</v>
      </c>
      <c r="H157" s="8"/>
      <c r="I157" s="7">
        <f>J157+K157+L157+M157+N157+O157+P157+Q157+R157+S157+T157+U157</f>
        <v>1433</v>
      </c>
      <c r="J157" s="39">
        <f>2800-2800</f>
        <v>0</v>
      </c>
      <c r="K157" s="38">
        <f>2397-2397</f>
        <v>0</v>
      </c>
      <c r="L157" s="38">
        <f>1120-404</f>
        <v>716</v>
      </c>
      <c r="M157" s="38">
        <v>0</v>
      </c>
      <c r="N157" s="38">
        <v>0</v>
      </c>
      <c r="O157" s="38">
        <v>717</v>
      </c>
      <c r="P157" s="38">
        <v>0</v>
      </c>
      <c r="Q157" s="38">
        <v>0</v>
      </c>
      <c r="R157" s="38">
        <v>0</v>
      </c>
      <c r="S157" s="38">
        <v>0</v>
      </c>
      <c r="T157" s="38">
        <v>0</v>
      </c>
      <c r="U157" s="38">
        <f>1-1</f>
        <v>0</v>
      </c>
      <c r="V157" s="3"/>
      <c r="W157" s="3"/>
      <c r="X157" s="3"/>
      <c r="Y157" s="3"/>
      <c r="Z157" s="3"/>
      <c r="AA157" s="3"/>
      <c r="AB157" s="3"/>
      <c r="AC157" s="3"/>
      <c r="AD157" s="3"/>
    </row>
    <row r="158" spans="1:62" ht="23.25" hidden="1" customHeight="1">
      <c r="A158" s="167"/>
      <c r="B158" s="170"/>
      <c r="C158" s="170"/>
      <c r="D158" s="181"/>
      <c r="E158" s="91"/>
      <c r="F158" s="6" t="s">
        <v>3</v>
      </c>
      <c r="G158" s="7"/>
      <c r="H158" s="7"/>
      <c r="I158" s="7">
        <f>J158+K158+L158+M158+N158+O158+P158+Q158+R158+S158+T158+U158</f>
        <v>0</v>
      </c>
      <c r="J158" s="13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3"/>
      <c r="W158" s="3"/>
      <c r="X158" s="3"/>
      <c r="Y158" s="3"/>
      <c r="Z158" s="3"/>
      <c r="AA158" s="3"/>
      <c r="AB158" s="3"/>
      <c r="AC158" s="3"/>
      <c r="AD158" s="3"/>
    </row>
    <row r="159" spans="1:62" ht="23.25" hidden="1" customHeight="1">
      <c r="A159" s="167"/>
      <c r="B159" s="170"/>
      <c r="C159" s="170"/>
      <c r="D159" s="181"/>
      <c r="E159" s="91"/>
      <c r="F159" s="40">
        <v>324</v>
      </c>
      <c r="G159" s="7">
        <v>16833</v>
      </c>
      <c r="H159" s="7"/>
      <c r="I159" s="7">
        <f>J159+K159+L159+M159+N159+O159+P159+Q159+R159+S159+T159+U159</f>
        <v>16833</v>
      </c>
      <c r="J159" s="16">
        <f>1680+2800</f>
        <v>4480</v>
      </c>
      <c r="K159" s="74">
        <f>1680-1680</f>
        <v>0</v>
      </c>
      <c r="L159" s="74">
        <f>1680-1120</f>
        <v>560</v>
      </c>
      <c r="M159" s="74">
        <v>1680</v>
      </c>
      <c r="N159" s="74">
        <v>1680</v>
      </c>
      <c r="O159" s="74">
        <v>1680</v>
      </c>
      <c r="P159" s="74">
        <v>3360</v>
      </c>
      <c r="Q159" s="74">
        <v>0</v>
      </c>
      <c r="R159" s="74">
        <v>1680</v>
      </c>
      <c r="S159" s="74">
        <v>1680</v>
      </c>
      <c r="T159" s="74">
        <f>1680-1647</f>
        <v>33</v>
      </c>
      <c r="U159" s="74"/>
      <c r="V159" s="3"/>
      <c r="W159" s="3"/>
      <c r="X159" s="3"/>
      <c r="Y159" s="3"/>
      <c r="Z159" s="3"/>
      <c r="AA159" s="3"/>
      <c r="AB159" s="3"/>
      <c r="AC159" s="3"/>
      <c r="AD159" s="3"/>
    </row>
    <row r="160" spans="1:62" s="60" customFormat="1" ht="48.75" customHeight="1">
      <c r="A160" s="167"/>
      <c r="B160" s="170"/>
      <c r="C160" s="170"/>
      <c r="D160" s="181"/>
      <c r="E160" s="91">
        <f>E155+1</f>
        <v>29</v>
      </c>
      <c r="F160" s="93" t="s">
        <v>9</v>
      </c>
      <c r="G160" s="7">
        <f>G161+G162+G163+G164</f>
        <v>295742</v>
      </c>
      <c r="H160" s="7">
        <v>311087</v>
      </c>
      <c r="I160" s="7">
        <f>I161</f>
        <v>206153</v>
      </c>
      <c r="J160" s="8">
        <f t="shared" ref="J160:U160" si="30">J161+J162+J163+J164</f>
        <v>12780</v>
      </c>
      <c r="K160" s="7">
        <f t="shared" si="30"/>
        <v>46317</v>
      </c>
      <c r="L160" s="7">
        <f t="shared" si="30"/>
        <v>27057.1</v>
      </c>
      <c r="M160" s="7">
        <f t="shared" si="30"/>
        <v>27058</v>
      </c>
      <c r="N160" s="7">
        <f t="shared" si="30"/>
        <v>27057</v>
      </c>
      <c r="O160" s="7">
        <f t="shared" si="30"/>
        <v>39811</v>
      </c>
      <c r="P160" s="7">
        <f t="shared" si="30"/>
        <v>20353</v>
      </c>
      <c r="Q160" s="7">
        <f t="shared" si="30"/>
        <v>20353</v>
      </c>
      <c r="R160" s="7">
        <f t="shared" si="30"/>
        <v>25629</v>
      </c>
      <c r="S160" s="7">
        <f t="shared" si="30"/>
        <v>20446</v>
      </c>
      <c r="T160" s="7">
        <f t="shared" si="30"/>
        <v>20446</v>
      </c>
      <c r="U160" s="7">
        <f t="shared" si="30"/>
        <v>4392</v>
      </c>
      <c r="V160" s="182" t="s">
        <v>5</v>
      </c>
      <c r="W160" s="183"/>
      <c r="X160" s="184"/>
      <c r="Y160" s="182">
        <v>206153</v>
      </c>
      <c r="Z160" s="183"/>
      <c r="AA160" s="183"/>
      <c r="AB160" s="183"/>
      <c r="AC160" s="183"/>
      <c r="AD160" s="184"/>
    </row>
    <row r="161" spans="1:30" ht="23.25" customHeight="1">
      <c r="A161" s="119"/>
      <c r="B161" s="120"/>
      <c r="C161" s="120"/>
      <c r="D161" s="121"/>
      <c r="E161" s="91"/>
      <c r="F161" s="6" t="s">
        <v>5</v>
      </c>
      <c r="G161" s="7">
        <v>206173</v>
      </c>
      <c r="H161" s="7"/>
      <c r="I161" s="7">
        <f>J161+K161+L161+M161+N161+O161+P161+Q161+R161+S161+T161+U161</f>
        <v>206153</v>
      </c>
      <c r="J161" s="13">
        <v>0</v>
      </c>
      <c r="K161" s="14">
        <v>40342</v>
      </c>
      <c r="L161" s="14">
        <v>19493</v>
      </c>
      <c r="M161" s="14">
        <v>19494</v>
      </c>
      <c r="N161" s="14">
        <v>19494</v>
      </c>
      <c r="O161" s="14">
        <f>19495+10401</f>
        <v>29896</v>
      </c>
      <c r="P161" s="14">
        <v>14639</v>
      </c>
      <c r="Q161" s="14">
        <v>14639</v>
      </c>
      <c r="R161" s="14">
        <v>14639</v>
      </c>
      <c r="S161" s="14">
        <v>14639</v>
      </c>
      <c r="T161" s="14">
        <v>14640</v>
      </c>
      <c r="U161" s="14">
        <f>14639-10401</f>
        <v>4238</v>
      </c>
      <c r="V161" s="182"/>
      <c r="W161" s="183"/>
      <c r="X161" s="184"/>
      <c r="Y161" s="182"/>
      <c r="Z161" s="183"/>
      <c r="AA161" s="183"/>
      <c r="AB161" s="183"/>
      <c r="AC161" s="183"/>
      <c r="AD161" s="184"/>
    </row>
    <row r="162" spans="1:30" ht="23.25" hidden="1" customHeight="1">
      <c r="A162" s="119"/>
      <c r="B162" s="120"/>
      <c r="C162" s="120"/>
      <c r="D162" s="121"/>
      <c r="E162" s="91"/>
      <c r="F162" s="6" t="s">
        <v>4</v>
      </c>
      <c r="G162" s="94">
        <v>8466</v>
      </c>
      <c r="H162" s="94"/>
      <c r="I162" s="7">
        <f>J162+K162+L162+M162+N162+O162+P162+Q162+R162+S162+T162+U162</f>
        <v>8466</v>
      </c>
      <c r="J162" s="39">
        <f>5300-5300</f>
        <v>0</v>
      </c>
      <c r="K162" s="38">
        <f>9095-5300</f>
        <v>3795</v>
      </c>
      <c r="L162" s="38">
        <v>321</v>
      </c>
      <c r="M162" s="38">
        <v>320</v>
      </c>
      <c r="N162" s="38">
        <v>319</v>
      </c>
      <c r="O162" s="38">
        <v>2671</v>
      </c>
      <c r="P162" s="38">
        <v>121</v>
      </c>
      <c r="Q162" s="38">
        <v>121</v>
      </c>
      <c r="R162" s="38">
        <v>215</v>
      </c>
      <c r="S162" s="38">
        <v>215</v>
      </c>
      <c r="T162" s="38">
        <v>214</v>
      </c>
      <c r="U162" s="38">
        <f>214-60</f>
        <v>154</v>
      </c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23.25" hidden="1" customHeight="1">
      <c r="A163" s="119"/>
      <c r="B163" s="120"/>
      <c r="C163" s="120"/>
      <c r="D163" s="121"/>
      <c r="E163" s="91"/>
      <c r="F163" s="6" t="s">
        <v>3</v>
      </c>
      <c r="G163" s="7"/>
      <c r="H163" s="7"/>
      <c r="I163" s="7">
        <f>J163+K163+L163+M163+N163+O163+P163+Q163+R163+S163+T163+U163</f>
        <v>0</v>
      </c>
      <c r="J163" s="13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23.25" hidden="1" customHeight="1">
      <c r="A164" s="119"/>
      <c r="B164" s="120"/>
      <c r="C164" s="120"/>
      <c r="D164" s="121"/>
      <c r="E164" s="91"/>
      <c r="F164" s="113">
        <v>324</v>
      </c>
      <c r="G164" s="7">
        <v>81103</v>
      </c>
      <c r="H164" s="7"/>
      <c r="I164" s="7">
        <f>J164+K164+L164+M164+N164+O164+P164+Q164+R164+S164+T164+U164</f>
        <v>77080.100000000006</v>
      </c>
      <c r="J164" s="95">
        <f>7480+5300</f>
        <v>12780</v>
      </c>
      <c r="K164" s="96">
        <f>7480-5300</f>
        <v>2180</v>
      </c>
      <c r="L164" s="96">
        <v>7243.1</v>
      </c>
      <c r="M164" s="96">
        <v>7244</v>
      </c>
      <c r="N164" s="96">
        <v>7244</v>
      </c>
      <c r="O164" s="96">
        <v>7244</v>
      </c>
      <c r="P164" s="96">
        <v>5593</v>
      </c>
      <c r="Q164" s="96">
        <v>5593</v>
      </c>
      <c r="R164" s="96">
        <f>5592+5183</f>
        <v>10775</v>
      </c>
      <c r="S164" s="96">
        <v>5592</v>
      </c>
      <c r="T164" s="96">
        <v>5592</v>
      </c>
      <c r="U164" s="96">
        <f>5592-409-5183</f>
        <v>0</v>
      </c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23.25" hidden="1" customHeight="1">
      <c r="A165" s="119"/>
      <c r="B165" s="120"/>
      <c r="C165" s="120"/>
      <c r="D165" s="121"/>
      <c r="E165" s="91"/>
      <c r="F165" s="114" t="s">
        <v>77</v>
      </c>
      <c r="G165" s="7"/>
      <c r="H165" s="7"/>
      <c r="I165" s="7">
        <f t="shared" ref="I165:I168" si="31">J165+K165+L165+M165+N165+O165+P165+Q165+R165+S165+T165+U165</f>
        <v>484171</v>
      </c>
      <c r="J165" s="115">
        <v>0</v>
      </c>
      <c r="K165" s="115">
        <v>0</v>
      </c>
      <c r="L165" s="115">
        <v>0</v>
      </c>
      <c r="M165" s="115">
        <v>0</v>
      </c>
      <c r="N165" s="115">
        <f>2518-2518</f>
        <v>0</v>
      </c>
      <c r="O165" s="115">
        <f>5992+9817+7547+14992-18602-19746</f>
        <v>0</v>
      </c>
      <c r="P165" s="115">
        <f>4229+3384+21502+18109-21119-26105</f>
        <v>0</v>
      </c>
      <c r="Q165" s="115">
        <f>14557+842+12116+1409+20254+9482-21662-29321-7677</f>
        <v>0</v>
      </c>
      <c r="R165" s="115">
        <f>3102+5070+10468+7717+6821+6366+19285+60+18174-41510-26960-8593</f>
        <v>0</v>
      </c>
      <c r="S165" s="115">
        <f>9745+4229+6821+6367+6463+19286+2223+18109+29321</f>
        <v>102564</v>
      </c>
      <c r="T165" s="115">
        <f>6425+4229+6843+5803+19286+7914+18109+19271+21119+26105+21662+7677+8593</f>
        <v>173036</v>
      </c>
      <c r="U165" s="115">
        <f>6444+4229+6621+6399+19287+11314+7986+3202+18110+5242+10401+2518+18602+19746+41510+26960</f>
        <v>208571</v>
      </c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23.25" hidden="1" customHeight="1">
      <c r="A166" s="119"/>
      <c r="B166" s="120"/>
      <c r="C166" s="120"/>
      <c r="D166" s="121"/>
      <c r="E166" s="91"/>
      <c r="F166" s="114" t="s">
        <v>76</v>
      </c>
      <c r="G166" s="7"/>
      <c r="H166" s="7"/>
      <c r="I166" s="7">
        <f t="shared" si="31"/>
        <v>14809</v>
      </c>
      <c r="J166" s="116">
        <v>0</v>
      </c>
      <c r="K166" s="116">
        <v>0</v>
      </c>
      <c r="L166" s="116">
        <v>0</v>
      </c>
      <c r="M166" s="116">
        <v>0</v>
      </c>
      <c r="N166" s="116">
        <v>0</v>
      </c>
      <c r="O166" s="116">
        <f>1746+758+6404-1978-6930</f>
        <v>0</v>
      </c>
      <c r="P166" s="116">
        <f>399+235-634</f>
        <v>0</v>
      </c>
      <c r="Q166" s="116">
        <f>1548-1548</f>
        <v>0</v>
      </c>
      <c r="R166" s="116">
        <f>2000+1050-819-2231</f>
        <v>0</v>
      </c>
      <c r="S166" s="116">
        <f>1622+4575+1050-4111-2040</f>
        <v>1096</v>
      </c>
      <c r="T166" s="116">
        <f>3711+1100-4760+2231</f>
        <v>2282</v>
      </c>
      <c r="U166" s="116">
        <f>3712+1050+2680+5516-10699+60+6930+634+1548</f>
        <v>11431</v>
      </c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23.25" hidden="1" customHeight="1">
      <c r="A167" s="119"/>
      <c r="B167" s="120"/>
      <c r="C167" s="120"/>
      <c r="D167" s="121"/>
      <c r="E167" s="91"/>
      <c r="F167" s="114" t="s">
        <v>78</v>
      </c>
      <c r="G167" s="7"/>
      <c r="H167" s="7"/>
      <c r="I167" s="7">
        <f t="shared" si="31"/>
        <v>140361</v>
      </c>
      <c r="J167" s="117">
        <v>0</v>
      </c>
      <c r="K167" s="117">
        <v>0</v>
      </c>
      <c r="L167" s="117">
        <v>0</v>
      </c>
      <c r="M167" s="117">
        <v>0</v>
      </c>
      <c r="N167" s="117">
        <v>0</v>
      </c>
      <c r="O167" s="117">
        <f>146+2937+6213-9296</f>
        <v>0</v>
      </c>
      <c r="P167" s="117">
        <f>857+1500+2431-4788</f>
        <v>0</v>
      </c>
      <c r="Q167" s="117">
        <f>1500+2432-3932</f>
        <v>0</v>
      </c>
      <c r="R167" s="117">
        <f>2000+4213+1530+1316+5120-5183-8996</f>
        <v>0</v>
      </c>
      <c r="S167" s="117">
        <f>2000+5000+1500+2069+19392+5939-24546-7127</f>
        <v>4227</v>
      </c>
      <c r="T167" s="117">
        <f>2000+5000+1500+2069+19392+9071+1647+2321+2605+8996</f>
        <v>54601</v>
      </c>
      <c r="U167" s="117">
        <f>2000+4051+1500+2069+3610+2493+5882+19392+9071+1671-1437+547+119+2950+990+1647+1116+392+271+9296+4788+3932+5183</f>
        <v>81533</v>
      </c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23.25" hidden="1" customHeight="1">
      <c r="A168" s="119"/>
      <c r="B168" s="120"/>
      <c r="C168" s="120"/>
      <c r="D168" s="121"/>
      <c r="E168" s="91"/>
      <c r="F168" s="114" t="s">
        <v>79</v>
      </c>
      <c r="G168" s="7"/>
      <c r="H168" s="7"/>
      <c r="I168" s="7">
        <f t="shared" si="31"/>
        <v>639341</v>
      </c>
      <c r="J168" s="117">
        <f t="shared" ref="J168:O168" si="32">J165+J166+J167</f>
        <v>0</v>
      </c>
      <c r="K168" s="117">
        <f t="shared" si="32"/>
        <v>0</v>
      </c>
      <c r="L168" s="117">
        <f t="shared" si="32"/>
        <v>0</v>
      </c>
      <c r="M168" s="117">
        <f t="shared" si="32"/>
        <v>0</v>
      </c>
      <c r="N168" s="117">
        <f t="shared" si="32"/>
        <v>0</v>
      </c>
      <c r="O168" s="117">
        <f t="shared" si="32"/>
        <v>0</v>
      </c>
      <c r="P168" s="117">
        <f>P165+P166+P167</f>
        <v>0</v>
      </c>
      <c r="Q168" s="117">
        <f t="shared" ref="Q168:U168" si="33">Q165+Q166+Q167</f>
        <v>0</v>
      </c>
      <c r="R168" s="117">
        <f t="shared" si="33"/>
        <v>0</v>
      </c>
      <c r="S168" s="117">
        <f t="shared" si="33"/>
        <v>107887</v>
      </c>
      <c r="T168" s="117">
        <f t="shared" si="33"/>
        <v>229919</v>
      </c>
      <c r="U168" s="117">
        <f t="shared" si="33"/>
        <v>301535</v>
      </c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23.25" hidden="1" customHeight="1">
      <c r="A169" s="119"/>
      <c r="B169" s="120"/>
      <c r="C169" s="120"/>
      <c r="D169" s="121"/>
      <c r="E169" s="91"/>
      <c r="F169" s="73" t="s">
        <v>1</v>
      </c>
      <c r="G169" s="7"/>
      <c r="H169" s="7"/>
      <c r="I169" s="7">
        <v>2389150</v>
      </c>
      <c r="J169" s="97"/>
      <c r="K169" s="97"/>
      <c r="L169" s="97"/>
      <c r="M169" s="97"/>
      <c r="N169" s="97"/>
      <c r="O169" s="97"/>
      <c r="P169" s="97"/>
      <c r="Q169" s="97"/>
      <c r="R169" s="97">
        <v>239015</v>
      </c>
      <c r="S169" s="97">
        <v>717039</v>
      </c>
      <c r="T169" s="97">
        <v>717042</v>
      </c>
      <c r="U169" s="97">
        <f>717039+409+2034-3428</f>
        <v>716054</v>
      </c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63" customHeight="1">
      <c r="A170" s="119"/>
      <c r="B170" s="120"/>
      <c r="C170" s="120"/>
      <c r="D170" s="121"/>
      <c r="E170" s="127">
        <f>E160+1</f>
        <v>30</v>
      </c>
      <c r="F170" s="124" t="s">
        <v>29</v>
      </c>
      <c r="G170" s="125" t="e">
        <f>G171+G174+G175+G176</f>
        <v>#REF!</v>
      </c>
      <c r="H170" s="125">
        <v>825871</v>
      </c>
      <c r="I170" s="125">
        <f>I171</f>
        <v>418630</v>
      </c>
      <c r="J170" s="8" t="e">
        <f t="shared" ref="J170:U170" si="34">J171+J174+J175+J176</f>
        <v>#REF!</v>
      </c>
      <c r="K170" s="7" t="e">
        <f t="shared" si="34"/>
        <v>#REF!</v>
      </c>
      <c r="L170" s="7" t="e">
        <f t="shared" si="34"/>
        <v>#REF!</v>
      </c>
      <c r="M170" s="7" t="e">
        <f t="shared" si="34"/>
        <v>#REF!</v>
      </c>
      <c r="N170" s="7" t="e">
        <f t="shared" si="34"/>
        <v>#REF!</v>
      </c>
      <c r="O170" s="7" t="e">
        <f t="shared" si="34"/>
        <v>#REF!</v>
      </c>
      <c r="P170" s="7" t="e">
        <f t="shared" si="34"/>
        <v>#REF!</v>
      </c>
      <c r="Q170" s="7" t="e">
        <f t="shared" si="34"/>
        <v>#REF!</v>
      </c>
      <c r="R170" s="7" t="e">
        <f t="shared" si="34"/>
        <v>#REF!</v>
      </c>
      <c r="S170" s="7" t="e">
        <f t="shared" si="34"/>
        <v>#REF!</v>
      </c>
      <c r="T170" s="7" t="e">
        <f t="shared" si="34"/>
        <v>#REF!</v>
      </c>
      <c r="U170" s="7" t="e">
        <f t="shared" si="34"/>
        <v>#REF!</v>
      </c>
      <c r="V170" s="182" t="s">
        <v>5</v>
      </c>
      <c r="W170" s="183"/>
      <c r="X170" s="184"/>
      <c r="Y170" s="182">
        <v>418630</v>
      </c>
      <c r="Z170" s="183"/>
      <c r="AA170" s="183"/>
      <c r="AB170" s="183"/>
      <c r="AC170" s="183"/>
      <c r="AD170" s="184"/>
    </row>
    <row r="171" spans="1:30" ht="23.25" customHeight="1">
      <c r="A171" s="119"/>
      <c r="B171" s="120"/>
      <c r="C171" s="120"/>
      <c r="D171" s="121"/>
      <c r="E171" s="127"/>
      <c r="F171" s="124" t="s">
        <v>5</v>
      </c>
      <c r="G171" s="125">
        <v>402931</v>
      </c>
      <c r="H171" s="125"/>
      <c r="I171" s="125">
        <f>J171+K171+L171+M171+N171+O171+P171+Q171+R171+S171+T171+U171</f>
        <v>418630</v>
      </c>
      <c r="J171" s="9">
        <v>0</v>
      </c>
      <c r="K171" s="10">
        <v>86859</v>
      </c>
      <c r="L171" s="10">
        <v>43430</v>
      </c>
      <c r="M171" s="10">
        <v>40083</v>
      </c>
      <c r="N171" s="10">
        <f>35352+2518</f>
        <v>37870</v>
      </c>
      <c r="O171" s="10">
        <f>103716+18602</f>
        <v>122318</v>
      </c>
      <c r="P171" s="10">
        <f>12769+21119</f>
        <v>33888</v>
      </c>
      <c r="Q171" s="10">
        <v>14443</v>
      </c>
      <c r="R171" s="10">
        <v>18619</v>
      </c>
      <c r="S171" s="10">
        <v>21120</v>
      </c>
      <c r="T171" s="10">
        <f>21119-21119</f>
        <v>0</v>
      </c>
      <c r="U171" s="10">
        <f>21120-2518-18602</f>
        <v>0</v>
      </c>
      <c r="V171" s="182"/>
      <c r="W171" s="183"/>
      <c r="X171" s="184"/>
      <c r="Y171" s="182"/>
      <c r="Z171" s="183"/>
      <c r="AA171" s="183"/>
      <c r="AB171" s="183"/>
      <c r="AC171" s="183"/>
      <c r="AD171" s="184"/>
    </row>
    <row r="172" spans="1:30" s="60" customFormat="1" ht="44.25" customHeight="1">
      <c r="A172" s="119"/>
      <c r="B172" s="120"/>
      <c r="C172" s="120"/>
      <c r="D172" s="121"/>
      <c r="E172" s="127">
        <f>E170+1</f>
        <v>31</v>
      </c>
      <c r="F172" s="124" t="s">
        <v>20</v>
      </c>
      <c r="G172" s="125" t="e">
        <f>G173+G174+G175+G176</f>
        <v>#REF!</v>
      </c>
      <c r="H172" s="125">
        <v>1132760</v>
      </c>
      <c r="I172" s="125">
        <f>I173</f>
        <v>922373</v>
      </c>
      <c r="J172" s="8" t="e">
        <f t="shared" ref="J172:U172" si="35">J173+J174+J175+J176</f>
        <v>#REF!</v>
      </c>
      <c r="K172" s="7" t="e">
        <f t="shared" si="35"/>
        <v>#REF!</v>
      </c>
      <c r="L172" s="7" t="e">
        <f t="shared" si="35"/>
        <v>#REF!</v>
      </c>
      <c r="M172" s="7" t="e">
        <f t="shared" si="35"/>
        <v>#REF!</v>
      </c>
      <c r="N172" s="7" t="e">
        <f t="shared" si="35"/>
        <v>#REF!</v>
      </c>
      <c r="O172" s="7" t="e">
        <f t="shared" si="35"/>
        <v>#REF!</v>
      </c>
      <c r="P172" s="7" t="e">
        <f t="shared" si="35"/>
        <v>#REF!</v>
      </c>
      <c r="Q172" s="7" t="e">
        <f t="shared" si="35"/>
        <v>#REF!</v>
      </c>
      <c r="R172" s="7" t="e">
        <f t="shared" si="35"/>
        <v>#REF!</v>
      </c>
      <c r="S172" s="7" t="e">
        <f t="shared" si="35"/>
        <v>#REF!</v>
      </c>
      <c r="T172" s="7" t="e">
        <f t="shared" si="35"/>
        <v>#REF!</v>
      </c>
      <c r="U172" s="7" t="e">
        <f t="shared" si="35"/>
        <v>#REF!</v>
      </c>
      <c r="V172" s="182" t="s">
        <v>5</v>
      </c>
      <c r="W172" s="183"/>
      <c r="X172" s="184"/>
      <c r="Y172" s="182">
        <v>922373</v>
      </c>
      <c r="Z172" s="183"/>
      <c r="AA172" s="183"/>
      <c r="AB172" s="183"/>
      <c r="AC172" s="183"/>
      <c r="AD172" s="184"/>
    </row>
    <row r="173" spans="1:30" ht="23.25" customHeight="1">
      <c r="A173" s="119"/>
      <c r="B173" s="120"/>
      <c r="C173" s="120"/>
      <c r="D173" s="121"/>
      <c r="E173" s="127"/>
      <c r="F173" s="124" t="s">
        <v>5</v>
      </c>
      <c r="G173" s="125">
        <v>869485</v>
      </c>
      <c r="H173" s="125"/>
      <c r="I173" s="125">
        <f>J173+K173+L173+M173+N173+O173+P173+Q173+R173+S173+T173+U173</f>
        <v>922373</v>
      </c>
      <c r="J173" s="61">
        <v>0</v>
      </c>
      <c r="K173" s="62">
        <v>201180</v>
      </c>
      <c r="L173" s="62">
        <v>127371</v>
      </c>
      <c r="M173" s="62">
        <v>113572</v>
      </c>
      <c r="N173" s="62">
        <v>111909</v>
      </c>
      <c r="O173" s="62">
        <v>111872</v>
      </c>
      <c r="P173" s="62">
        <v>171650</v>
      </c>
      <c r="Q173" s="62">
        <v>84819</v>
      </c>
      <c r="R173" s="62">
        <v>0</v>
      </c>
      <c r="S173" s="62">
        <v>0</v>
      </c>
      <c r="T173" s="62">
        <v>0</v>
      </c>
      <c r="U173" s="62">
        <v>0</v>
      </c>
      <c r="V173" s="182"/>
      <c r="W173" s="183"/>
      <c r="X173" s="184"/>
      <c r="Y173" s="182"/>
      <c r="Z173" s="183"/>
      <c r="AA173" s="183"/>
      <c r="AB173" s="183"/>
      <c r="AC173" s="183"/>
      <c r="AD173" s="184"/>
    </row>
    <row r="174" spans="1:30" ht="28.5" customHeight="1">
      <c r="A174" s="197"/>
      <c r="B174" s="197"/>
      <c r="C174" s="197"/>
      <c r="D174" s="197"/>
      <c r="E174" s="122"/>
      <c r="F174" s="98" t="s">
        <v>8</v>
      </c>
      <c r="G174" s="7" t="e">
        <f>G12+G17+G22+G27+G32+G37+G42+G47+G52+G57+G62+G67+G72+G77+#REF!+G85+G90+G95+G100+G105+G110+G115+G120+G125+G130+G135+G140+G145+G150+G155+G160+G169</f>
        <v>#REF!</v>
      </c>
      <c r="H174" s="7" t="e">
        <f>H12+H17+H22+H27+H32+H37+H42+H47+H52+H57+H62+H67+H72+H77+#REF!+H85+H90+H95+H100+H105+H110+H115+H120+H125+H130+H135+H140+H145+H150+H155+H160+H169</f>
        <v>#REF!</v>
      </c>
      <c r="I174" s="7">
        <f>I12+I17+I22+I27+I32+I37+I42+I47+I52+I57+I62+I67+I72+I77+I85+I90+I95+I100+I105+I115+I120+I125+I130+I135+I140+I145+I150+I155+I160+I170+I172</f>
        <v>5876665.5999999996</v>
      </c>
      <c r="J174" s="7" t="e">
        <f>J12+J17+J22+J27+J32+J37+J42+J47+J52+J57+J62+J67+J72+J77+#REF!+J85+J90+J95+J100+J105+J110+J115+J120+J125+J130+J135+J140+J145+J150+J155+J160+J169+J168</f>
        <v>#REF!</v>
      </c>
      <c r="K174" s="7" t="e">
        <f>K12+K17+K22+K27+K32+K37+K42+K47+K52+K57+K62+K67+K72+K77+#REF!+K85+K90+K95+K100+K105+K110+K115+K120+K125+K130+K135+K140+K145+K150+K155+K160+K169+K168</f>
        <v>#REF!</v>
      </c>
      <c r="L174" s="7" t="e">
        <f>L12+L17+L22+L27+L32+L37+L42+L47+L52+L57+L62+L67+L72+L77+#REF!+L85+L90+L95+L100+L105+L110+L115+L120+L125+L130+L135+L140+L145+L150+L155+L160+L169+L168</f>
        <v>#REF!</v>
      </c>
      <c r="M174" s="7" t="e">
        <f>M12+M17+M22+M27+M32+M37+M42+M47+M52+M57+M62+M67+M72+M77+#REF!+M85+M90+M95+M100+M105+M110+M115+M120+M125+M130+M135+M140+M145+M150+M155+M160+M169+M168</f>
        <v>#REF!</v>
      </c>
      <c r="N174" s="7" t="e">
        <f>N12+N17+N22+N27+N32+N37+N42+N47+N52+N57+N62+N67+N72+N77+#REF!+N85+N90+N95+N100+N105+N110+N115+N120+N125+N130+N135+N140+N145+N150+N155+N160+N169+N168</f>
        <v>#REF!</v>
      </c>
      <c r="O174" s="7" t="e">
        <f>O12+O17+O22+O27+O32+O37+O42+O47+O52+O57+O62+O67+O72+O77+#REF!+O85+O90+O95+O100+O105+O110+O115+O120+O125+O130+O135+O140+O145+O150+O155+O160+O169+O168</f>
        <v>#REF!</v>
      </c>
      <c r="P174" s="7" t="e">
        <f>P12+P17+P22+P27+P32+P37+P42+P47+P52+P57+P62+P67+P72+P77+#REF!+P85+P90+P95+P100+P105+P110+P115+P120+P125+P130+P135+P140+P145+P150+P155+P160+P169+P168</f>
        <v>#REF!</v>
      </c>
      <c r="Q174" s="7" t="e">
        <f>Q12+Q17+Q22+Q27+Q32+Q37+Q42+Q47+Q52+Q57+Q62+Q67+Q72+Q77+#REF!+Q85+Q90+Q95+Q100+Q105+Q110+Q115+Q120+Q125+Q130+Q135+Q140+Q145+Q150+Q155+Q160+Q169+Q168</f>
        <v>#REF!</v>
      </c>
      <c r="R174" s="7" t="e">
        <f>R12+R17+R22+R27+R32+R37+R42+R47+R52+R57+R62+R67+R72+R77+#REF!+R85+R90+R95+R100+R105+R110+R115+R120+R125+R130+R135+R140+R145+R150+R155+R160+R169+R168</f>
        <v>#REF!</v>
      </c>
      <c r="S174" s="7" t="e">
        <f>S12+S17+S22+S27+S32+S37+S42+S47+S52+S57+S62+S67+S72+S77+#REF!+S85+S90+S95+S100+S105+S110+S115+S120+S125+S130+S135+S140+S145+S150+S155+S160+S169+S168</f>
        <v>#REF!</v>
      </c>
      <c r="T174" s="7" t="e">
        <f>T12+T17+T22+T27+T32+T37+T42+T47+T52+T57+T62+T67+T72+T77+#REF!+T85+T90+T95+T100+T105+T110+T115+T120+T125+T130+T135+T140+T145+T150+T155+T160+T169+T168</f>
        <v>#REF!</v>
      </c>
      <c r="U174" s="7" t="e">
        <f>U12+U17+U22+U27+U32+U37+U42+U47+U52+U57+U62+U67+U72+U77+#REF!+U85+U90+U95+U100+U105+U110+U115+U120+U125+U130+U135+U140+U145+U150+U155+U160+U169+U168</f>
        <v>#REF!</v>
      </c>
      <c r="V174" s="182"/>
      <c r="W174" s="183"/>
      <c r="X174" s="184"/>
      <c r="Y174" s="182"/>
      <c r="Z174" s="183"/>
      <c r="AA174" s="183"/>
      <c r="AB174" s="183"/>
      <c r="AC174" s="183"/>
      <c r="AD174" s="184"/>
    </row>
    <row r="175" spans="1:30" ht="35.25" hidden="1" customHeight="1">
      <c r="G175" s="112">
        <v>8722408</v>
      </c>
      <c r="H175" s="112">
        <v>10336493.800000001</v>
      </c>
      <c r="I175" s="112">
        <v>11661802</v>
      </c>
      <c r="J175" s="112">
        <v>199006</v>
      </c>
      <c r="K175" s="112">
        <v>1678144</v>
      </c>
      <c r="L175" s="112">
        <v>916963</v>
      </c>
      <c r="M175" s="112">
        <v>904766</v>
      </c>
      <c r="N175" s="112">
        <v>906920</v>
      </c>
      <c r="O175" s="112">
        <v>1165501</v>
      </c>
      <c r="P175" s="112">
        <v>917233</v>
      </c>
      <c r="Q175" s="112">
        <v>520126</v>
      </c>
      <c r="R175" s="112">
        <v>800877</v>
      </c>
      <c r="S175" s="112">
        <v>1254700</v>
      </c>
      <c r="T175" s="112">
        <v>1212288</v>
      </c>
      <c r="U175" s="112">
        <v>1185278</v>
      </c>
    </row>
    <row r="176" spans="1:30" ht="48.75" hidden="1" customHeight="1">
      <c r="D176" s="198" t="s">
        <v>7</v>
      </c>
      <c r="E176" s="198"/>
      <c r="F176" s="198"/>
      <c r="G176" s="99"/>
      <c r="H176" s="99"/>
      <c r="I176" s="99">
        <f>J176+K176+L176+M176+N176+O176+P176+Q176+R176+S176+T176+U176</f>
        <v>11661802</v>
      </c>
      <c r="J176" s="100">
        <v>199006</v>
      </c>
      <c r="K176" s="100">
        <v>1678144</v>
      </c>
      <c r="L176" s="100">
        <v>916963</v>
      </c>
      <c r="M176" s="100">
        <v>904766</v>
      </c>
      <c r="N176" s="100">
        <v>906920</v>
      </c>
      <c r="O176" s="100">
        <v>1165501</v>
      </c>
      <c r="P176" s="100">
        <v>917233</v>
      </c>
      <c r="Q176" s="100">
        <v>520126</v>
      </c>
      <c r="R176" s="100">
        <v>800877</v>
      </c>
      <c r="S176" s="100">
        <v>1254700</v>
      </c>
      <c r="T176" s="100">
        <v>1212288</v>
      </c>
      <c r="U176" s="100">
        <v>1185278</v>
      </c>
    </row>
    <row r="177" spans="1:21" ht="19.5" hidden="1" customHeight="1">
      <c r="D177" s="123"/>
      <c r="E177" s="123"/>
      <c r="F177" s="123"/>
      <c r="I177" s="101">
        <f>I176-I174</f>
        <v>5785136.4000000004</v>
      </c>
      <c r="J177" s="101" t="e">
        <f t="shared" ref="J177:U177" si="36">J176-J174</f>
        <v>#REF!</v>
      </c>
      <c r="K177" s="101" t="e">
        <f t="shared" si="36"/>
        <v>#REF!</v>
      </c>
      <c r="L177" s="101" t="e">
        <f t="shared" si="36"/>
        <v>#REF!</v>
      </c>
      <c r="M177" s="101" t="e">
        <f t="shared" si="36"/>
        <v>#REF!</v>
      </c>
      <c r="N177" s="101" t="e">
        <f t="shared" si="36"/>
        <v>#REF!</v>
      </c>
      <c r="O177" s="101" t="e">
        <f t="shared" si="36"/>
        <v>#REF!</v>
      </c>
      <c r="P177" s="101" t="e">
        <f>P176-P174</f>
        <v>#REF!</v>
      </c>
      <c r="Q177" s="101" t="e">
        <f t="shared" si="36"/>
        <v>#REF!</v>
      </c>
      <c r="R177" s="101" t="e">
        <f t="shared" si="36"/>
        <v>#REF!</v>
      </c>
      <c r="S177" s="101" t="e">
        <f t="shared" si="36"/>
        <v>#REF!</v>
      </c>
      <c r="T177" s="101" t="e">
        <f t="shared" si="36"/>
        <v>#REF!</v>
      </c>
      <c r="U177" s="101" t="e">
        <f t="shared" si="36"/>
        <v>#REF!</v>
      </c>
    </row>
    <row r="178" spans="1:21" ht="19.5" hidden="1" customHeight="1">
      <c r="D178" s="123"/>
      <c r="E178" s="123"/>
      <c r="F178" s="123"/>
      <c r="I178" s="102"/>
    </row>
    <row r="179" spans="1:21" ht="19.5" hidden="1" customHeight="1">
      <c r="D179" s="123"/>
      <c r="E179" s="123"/>
      <c r="F179" s="103"/>
      <c r="I179" s="104"/>
      <c r="J179" s="104"/>
      <c r="K179" s="104"/>
      <c r="L179" s="104"/>
      <c r="M179" s="104"/>
      <c r="N179" s="104"/>
      <c r="O179" s="104"/>
      <c r="P179" s="104"/>
      <c r="Q179" s="104"/>
      <c r="R179" s="104"/>
      <c r="S179" s="104"/>
      <c r="T179" s="104"/>
      <c r="U179" s="104"/>
    </row>
    <row r="180" spans="1:21" hidden="1">
      <c r="I180" s="105"/>
      <c r="J180" s="77"/>
    </row>
    <row r="181" spans="1:21" s="60" customFormat="1" ht="23.25" hidden="1" customHeight="1">
      <c r="A181" s="1"/>
      <c r="B181" s="1"/>
      <c r="C181" s="1"/>
      <c r="D181" s="1"/>
      <c r="E181" s="92"/>
      <c r="F181" s="106" t="s">
        <v>6</v>
      </c>
      <c r="G181" s="3"/>
      <c r="H181" s="3"/>
      <c r="I181" s="7"/>
      <c r="J181" s="97"/>
      <c r="K181" s="97"/>
      <c r="L181" s="97"/>
      <c r="M181" s="97"/>
      <c r="N181" s="97"/>
      <c r="O181" s="97"/>
      <c r="P181" s="97"/>
      <c r="Q181" s="97"/>
      <c r="R181" s="97"/>
      <c r="S181" s="97"/>
      <c r="T181" s="97"/>
      <c r="U181" s="97"/>
    </row>
    <row r="182" spans="1:21" ht="23.25" hidden="1" customHeight="1">
      <c r="A182" s="119"/>
      <c r="B182" s="120"/>
      <c r="C182" s="120"/>
      <c r="D182" s="121"/>
      <c r="E182" s="91"/>
      <c r="F182" s="6" t="s">
        <v>5</v>
      </c>
      <c r="G182" s="3"/>
      <c r="H182" s="3"/>
      <c r="I182" s="38" t="e">
        <f>I13+I18+I23+I28+I33+I38+I43+I48+I53+I58+I63+I68+I73+I78+#REF!+I86+I91+I96+I101+I106+I111+I116+I121+I126+I131+I136+I141+I146+I151+I156+I161</f>
        <v>#REF!</v>
      </c>
      <c r="J182" s="38" t="e">
        <f>J13+J18+J23+J28+J33+J38+J43+J48+J53+J58+J63+J68+J73+J78+#REF!+J86+J91+J96+J101+J106+J111+J116+J121+J126+J131+J136+J141+J146+J151+J156+J161</f>
        <v>#REF!</v>
      </c>
      <c r="K182" s="38" t="e">
        <f>K13+K18+K23+K28+K33+K38+K43+K48+K53+K58+K63+K68+K73+K78+#REF!+K86+K91+K96+K101+K106+K111+K116+K121+K126+K131+K136+K141+K146+K151+K156+K161</f>
        <v>#REF!</v>
      </c>
      <c r="L182" s="38" t="e">
        <f>L13+L18+L23+L28+L33+L38+L43+L48+L53+L58+L63+L68+L73+L78+#REF!+L86+L91+L96+L101+L106+L111+L116+L121+L126+L131+L136+L141+L146+L151+L156+L161</f>
        <v>#REF!</v>
      </c>
      <c r="M182" s="38" t="e">
        <f>M13+M18+M23+M28+M33+M38+M43+M48+M53+M58+M63+M68+M73+M78+#REF!+M86+M91+M96+M101+M106+M111+M116+M121+M126+M131+M136+M141+M146+M151+M156+M161</f>
        <v>#REF!</v>
      </c>
      <c r="N182" s="38" t="e">
        <f>N13+N18+N23+N28+N33+N38+N43+N48+N53+N58+N63+N68+N73+N78+#REF!+N86+N91+N96+N101+N106+N111+N116+N121+N126+N131+N136+N141+N146+N151+N156+N161</f>
        <v>#REF!</v>
      </c>
      <c r="O182" s="38" t="e">
        <f>O13+O18+O23+O28+O33+O38+O43+O48+O53+O58+O63+O68+O73+O78+#REF!+O86+O91+O96+O101+O106+O111+O116+O121+O126+O131+O136+O141+O146+O151+O156+O161</f>
        <v>#REF!</v>
      </c>
      <c r="P182" s="38" t="e">
        <f>P13+P18+P23+P28+P33+P38+P43+P48+P53+P58+P63+P68+P73+P78+#REF!+P86+P91+P96+P101+P106+P111+P116+P121+P126+P131+P136+P141+P146+P151+P156+P161</f>
        <v>#REF!</v>
      </c>
      <c r="Q182" s="38" t="e">
        <f>Q13+Q18+Q23+Q28+Q33+Q38+Q43+Q48+Q53+Q58+Q63+Q68+Q73+Q78+#REF!+Q86+Q91+Q96+Q101+Q106+Q111+Q116+Q121+Q126+Q131+Q136+Q141+Q146+Q151+Q156+Q161</f>
        <v>#REF!</v>
      </c>
      <c r="R182" s="38" t="e">
        <f>R13+R18+R23+R28+R33+R38+R43+R48+R53+R58+R63+R68+R73+R78+#REF!+R86+R91+R96+R101+R106+R111+R116+R121+R126+R131+R136+R141+R146+R151+R156+R161</f>
        <v>#REF!</v>
      </c>
      <c r="S182" s="38" t="e">
        <f>S13+S18+S23+S28+S33+S38+S43+S48+S53+S58+S63+S68+S73+S78+#REF!+S86+S91+S96+S101+S106+S111+S116+S121+S126+S131+S136+S141+S146+S151+S156+S161</f>
        <v>#REF!</v>
      </c>
      <c r="T182" s="38" t="e">
        <f>T13+T18+T23+T28+T33+T38+T43+T48+T53+T58+T63+T68+T73+T78+#REF!+T86+T91+T96+T101+T106+T111+T116+T121+T126+T131+T136+T141+T146+T151+T156+T161</f>
        <v>#REF!</v>
      </c>
      <c r="U182" s="38" t="e">
        <f>U13+U18+U23+U28+U33+U38+U43+U48+U53+U58+U63+U68+U73+U78+#REF!+U86+U91+U96+U101+U106+U111+U116+U121+U126+U131+U136+U141+U146+U151+U156+U161</f>
        <v>#REF!</v>
      </c>
    </row>
    <row r="183" spans="1:21" ht="23.25" hidden="1" customHeight="1">
      <c r="A183" s="119"/>
      <c r="B183" s="120"/>
      <c r="C183" s="120"/>
      <c r="D183" s="121"/>
      <c r="E183" s="91"/>
      <c r="F183" s="6" t="s">
        <v>4</v>
      </c>
      <c r="G183" s="3"/>
      <c r="H183" s="3"/>
      <c r="I183" s="38">
        <f t="shared" ref="I183:U183" si="37">I14+I19+I24+I29+I34+I39+I44+I49+I54+I59+I64+I69+I74+I79+I82+I87+I92+I97+I102+I107+I112+I117+I122+I127+I132+I137+I142+I147+I152+I157+I162</f>
        <v>732428.1</v>
      </c>
      <c r="J183" s="38">
        <f t="shared" si="37"/>
        <v>0</v>
      </c>
      <c r="K183" s="38">
        <f t="shared" si="37"/>
        <v>181113.85</v>
      </c>
      <c r="L183" s="38">
        <f t="shared" si="37"/>
        <v>74872.600000000006</v>
      </c>
      <c r="M183" s="38">
        <f t="shared" si="37"/>
        <v>59424.75</v>
      </c>
      <c r="N183" s="38">
        <f t="shared" si="37"/>
        <v>68099.649999999994</v>
      </c>
      <c r="O183" s="38">
        <f t="shared" si="37"/>
        <v>108840.7</v>
      </c>
      <c r="P183" s="38">
        <f t="shared" si="37"/>
        <v>34236</v>
      </c>
      <c r="Q183" s="38">
        <f t="shared" si="37"/>
        <v>30696.85</v>
      </c>
      <c r="R183" s="38">
        <f t="shared" si="37"/>
        <v>50557.7</v>
      </c>
      <c r="S183" s="38">
        <f t="shared" si="37"/>
        <v>49925</v>
      </c>
      <c r="T183" s="38">
        <f t="shared" si="37"/>
        <v>42759</v>
      </c>
      <c r="U183" s="38">
        <f t="shared" si="37"/>
        <v>31902</v>
      </c>
    </row>
    <row r="184" spans="1:21" ht="23.25" hidden="1" customHeight="1">
      <c r="A184" s="119"/>
      <c r="B184" s="120"/>
      <c r="C184" s="120"/>
      <c r="D184" s="121"/>
      <c r="E184" s="91"/>
      <c r="F184" s="6" t="s">
        <v>3</v>
      </c>
      <c r="G184" s="3"/>
      <c r="H184" s="3"/>
      <c r="I184" s="38">
        <f t="shared" ref="I184:U184" si="38">I15+I20+I25+I30+I35+I40+I45+I50+I55+I60+I65+I70+I75+I80+I83+I88+I93+I98+I103+I108+I113+I118+I123+I128+I133+I138+I143+I148+I153+I158+I163</f>
        <v>196339</v>
      </c>
      <c r="J184" s="38">
        <f t="shared" si="38"/>
        <v>0</v>
      </c>
      <c r="K184" s="38">
        <f t="shared" si="38"/>
        <v>56878</v>
      </c>
      <c r="L184" s="38">
        <f t="shared" si="38"/>
        <v>12545</v>
      </c>
      <c r="M184" s="38">
        <f t="shared" si="38"/>
        <v>13375</v>
      </c>
      <c r="N184" s="38">
        <f t="shared" si="38"/>
        <v>10206</v>
      </c>
      <c r="O184" s="38">
        <f t="shared" si="38"/>
        <v>7397</v>
      </c>
      <c r="P184" s="38">
        <f t="shared" si="38"/>
        <v>6448</v>
      </c>
      <c r="Q184" s="38">
        <f t="shared" si="38"/>
        <v>4136</v>
      </c>
      <c r="R184" s="38">
        <f t="shared" si="38"/>
        <v>27330</v>
      </c>
      <c r="S184" s="38">
        <f t="shared" si="38"/>
        <v>27945</v>
      </c>
      <c r="T184" s="38">
        <f t="shared" si="38"/>
        <v>13756</v>
      </c>
      <c r="U184" s="38">
        <f t="shared" si="38"/>
        <v>16323</v>
      </c>
    </row>
    <row r="185" spans="1:21" ht="23.25" hidden="1" customHeight="1">
      <c r="A185" s="119"/>
      <c r="B185" s="120"/>
      <c r="C185" s="120"/>
      <c r="D185" s="121"/>
      <c r="E185" s="107"/>
      <c r="F185" s="108" t="s">
        <v>2</v>
      </c>
      <c r="G185" s="3"/>
      <c r="H185" s="3"/>
      <c r="I185" s="109">
        <f>I16+I21+I26+I31+I36+I41+I46+I51+I56+I61+I66+I71+I76+I81+I84+I89+I94+I99+I104+I109+I114+I119+I124+I129+I134+I139+I144+I149+I154+I159+I164+5688</f>
        <v>1928498.3</v>
      </c>
      <c r="J185" s="109">
        <f t="shared" ref="J185:T185" si="39">J16+J21+J26+J31+J36+J41+J46+J51+J56+J61+J66+J71+J76+J81+J84+J89+J94+J99+J104+J109+J114+J119+J124+J129+J134+J139+J144+J149+J154+J159+J164</f>
        <v>199006</v>
      </c>
      <c r="K185" s="109">
        <f t="shared" si="39"/>
        <v>243320</v>
      </c>
      <c r="L185" s="109">
        <f t="shared" si="39"/>
        <v>169773.1</v>
      </c>
      <c r="M185" s="109">
        <f t="shared" si="39"/>
        <v>192348.2</v>
      </c>
      <c r="N185" s="109">
        <f t="shared" si="39"/>
        <v>198609</v>
      </c>
      <c r="O185" s="109">
        <f t="shared" si="39"/>
        <v>225256</v>
      </c>
      <c r="P185" s="109">
        <f t="shared" si="39"/>
        <v>187835</v>
      </c>
      <c r="Q185" s="109">
        <f t="shared" si="39"/>
        <v>113628</v>
      </c>
      <c r="R185" s="109">
        <f t="shared" si="39"/>
        <v>136511</v>
      </c>
      <c r="S185" s="109">
        <f t="shared" si="39"/>
        <v>130363</v>
      </c>
      <c r="T185" s="109">
        <f t="shared" si="39"/>
        <v>80440</v>
      </c>
      <c r="U185" s="109">
        <f>U16+U21+U26+U31+U36+U41+U46+U51+U56+U61+U66+U71+U76+U81+U84+U89+U94+U99+U104+U109+U114+U119+U124+U129+U134+U139+U144+U149+U154+U159+U164+5688</f>
        <v>51409</v>
      </c>
    </row>
    <row r="186" spans="1:21" ht="23.25" hidden="1" customHeight="1">
      <c r="A186" s="110"/>
      <c r="B186" s="111"/>
      <c r="C186" s="111"/>
      <c r="D186" s="111"/>
      <c r="E186" s="91"/>
      <c r="F186" s="73" t="s">
        <v>1</v>
      </c>
      <c r="G186" s="7"/>
      <c r="H186" s="7"/>
      <c r="I186" s="7">
        <f t="shared" ref="I186:U186" si="40">I169</f>
        <v>2389150</v>
      </c>
      <c r="J186" s="7">
        <f t="shared" si="40"/>
        <v>0</v>
      </c>
      <c r="K186" s="7">
        <f t="shared" si="40"/>
        <v>0</v>
      </c>
      <c r="L186" s="7">
        <f t="shared" si="40"/>
        <v>0</v>
      </c>
      <c r="M186" s="7">
        <f t="shared" si="40"/>
        <v>0</v>
      </c>
      <c r="N186" s="7">
        <f t="shared" si="40"/>
        <v>0</v>
      </c>
      <c r="O186" s="7">
        <f t="shared" si="40"/>
        <v>0</v>
      </c>
      <c r="P186" s="7">
        <f t="shared" si="40"/>
        <v>0</v>
      </c>
      <c r="Q186" s="7">
        <f t="shared" si="40"/>
        <v>0</v>
      </c>
      <c r="R186" s="7">
        <f t="shared" si="40"/>
        <v>239015</v>
      </c>
      <c r="S186" s="7">
        <f t="shared" si="40"/>
        <v>717039</v>
      </c>
      <c r="T186" s="7">
        <f t="shared" si="40"/>
        <v>717042</v>
      </c>
      <c r="U186" s="7">
        <f t="shared" si="40"/>
        <v>716054</v>
      </c>
    </row>
    <row r="187" spans="1:21" hidden="1">
      <c r="I187" s="105" t="e">
        <f t="shared" ref="I187:U187" si="41">I182+I183+I184+I185+I186</f>
        <v>#REF!</v>
      </c>
      <c r="J187" s="105" t="e">
        <f t="shared" si="41"/>
        <v>#REF!</v>
      </c>
      <c r="K187" s="105" t="e">
        <f t="shared" si="41"/>
        <v>#REF!</v>
      </c>
      <c r="L187" s="105" t="e">
        <f t="shared" si="41"/>
        <v>#REF!</v>
      </c>
      <c r="M187" s="105" t="e">
        <f t="shared" si="41"/>
        <v>#REF!</v>
      </c>
      <c r="N187" s="105" t="e">
        <f t="shared" si="41"/>
        <v>#REF!</v>
      </c>
      <c r="O187" s="105" t="e">
        <f t="shared" si="41"/>
        <v>#REF!</v>
      </c>
      <c r="P187" s="105" t="e">
        <f t="shared" si="41"/>
        <v>#REF!</v>
      </c>
      <c r="Q187" s="105" t="e">
        <f t="shared" si="41"/>
        <v>#REF!</v>
      </c>
      <c r="R187" s="105" t="e">
        <f t="shared" si="41"/>
        <v>#REF!</v>
      </c>
      <c r="S187" s="105" t="e">
        <f t="shared" si="41"/>
        <v>#REF!</v>
      </c>
      <c r="T187" s="105" t="e">
        <f t="shared" si="41"/>
        <v>#REF!</v>
      </c>
      <c r="U187" s="105" t="e">
        <f t="shared" si="41"/>
        <v>#REF!</v>
      </c>
    </row>
    <row r="188" spans="1:21" hidden="1">
      <c r="I188" s="105" t="e">
        <f>I176-I187</f>
        <v>#REF!</v>
      </c>
      <c r="J188" s="105" t="e">
        <f t="shared" ref="J188:U188" si="42">J176-J187</f>
        <v>#REF!</v>
      </c>
      <c r="K188" s="105" t="e">
        <f t="shared" si="42"/>
        <v>#REF!</v>
      </c>
      <c r="L188" s="105" t="e">
        <f t="shared" si="42"/>
        <v>#REF!</v>
      </c>
      <c r="M188" s="105" t="e">
        <f t="shared" si="42"/>
        <v>#REF!</v>
      </c>
      <c r="N188" s="105" t="e">
        <f t="shared" si="42"/>
        <v>#REF!</v>
      </c>
      <c r="O188" s="105" t="e">
        <f t="shared" si="42"/>
        <v>#REF!</v>
      </c>
      <c r="P188" s="105" t="e">
        <f t="shared" si="42"/>
        <v>#REF!</v>
      </c>
      <c r="Q188" s="105" t="e">
        <f t="shared" si="42"/>
        <v>#REF!</v>
      </c>
      <c r="R188" s="105" t="e">
        <f t="shared" si="42"/>
        <v>#REF!</v>
      </c>
      <c r="S188" s="105" t="e">
        <f t="shared" si="42"/>
        <v>#REF!</v>
      </c>
      <c r="T188" s="105" t="e">
        <f t="shared" si="42"/>
        <v>#REF!</v>
      </c>
      <c r="U188" s="105" t="e">
        <f t="shared" si="42"/>
        <v>#REF!</v>
      </c>
    </row>
    <row r="189" spans="1:21" ht="15" hidden="1" customHeight="1">
      <c r="I189" s="105"/>
    </row>
    <row r="190" spans="1:21" hidden="1"/>
    <row r="191" spans="1:21" hidden="1"/>
    <row r="192" spans="1:21" hidden="1"/>
    <row r="193" spans="6:21" hidden="1"/>
    <row r="194" spans="6:21" hidden="1"/>
    <row r="195" spans="6:21" hidden="1"/>
    <row r="196" spans="6:21" hidden="1">
      <c r="I196" s="1" t="s">
        <v>0</v>
      </c>
      <c r="J196" s="102">
        <v>0</v>
      </c>
      <c r="K196" s="101">
        <v>-36151.100000000093</v>
      </c>
      <c r="L196" s="101">
        <v>27978.199999999953</v>
      </c>
      <c r="M196" s="101">
        <v>6786.1999999999534</v>
      </c>
      <c r="N196" s="101">
        <v>-550.80000000004657</v>
      </c>
      <c r="O196" s="101">
        <v>-3960.8000000000466</v>
      </c>
      <c r="P196" s="101">
        <v>-0.30000000004656613</v>
      </c>
      <c r="Q196" s="101">
        <v>-0.29999999998835847</v>
      </c>
      <c r="R196" s="101">
        <v>2561.9000000000233</v>
      </c>
      <c r="S196" s="101">
        <v>-21.100000000093132</v>
      </c>
      <c r="T196" s="101">
        <v>-21.100000000093132</v>
      </c>
      <c r="U196" s="101">
        <v>3379.2000000001863</v>
      </c>
    </row>
    <row r="197" spans="6:21" hidden="1"/>
    <row r="198" spans="6:21" hidden="1"/>
    <row r="199" spans="6:21" hidden="1"/>
    <row r="200" spans="6:21">
      <c r="F200" s="1" t="s">
        <v>83</v>
      </c>
    </row>
    <row r="1048576" spans="22:24">
      <c r="V1048576" s="182"/>
      <c r="W1048576" s="183"/>
      <c r="X1048576" s="184"/>
    </row>
  </sheetData>
  <mergeCells count="167">
    <mergeCell ref="A174:D174"/>
    <mergeCell ref="D176:F176"/>
    <mergeCell ref="N9:N11"/>
    <mergeCell ref="P9:P11"/>
    <mergeCell ref="Q9:Q11"/>
    <mergeCell ref="R9:R11"/>
    <mergeCell ref="S9:S11"/>
    <mergeCell ref="T9:T11"/>
    <mergeCell ref="C10:C160"/>
    <mergeCell ref="D10:E10"/>
    <mergeCell ref="D11:D160"/>
    <mergeCell ref="V7:X11"/>
    <mergeCell ref="V12:X12"/>
    <mergeCell ref="V13:X13"/>
    <mergeCell ref="V17:X17"/>
    <mergeCell ref="V18:X18"/>
    <mergeCell ref="A2:I2"/>
    <mergeCell ref="A3:I3"/>
    <mergeCell ref="A6:U6"/>
    <mergeCell ref="A7:E7"/>
    <mergeCell ref="F7:F11"/>
    <mergeCell ref="G7:G11"/>
    <mergeCell ref="H7:H11"/>
    <mergeCell ref="I7:I11"/>
    <mergeCell ref="J7:U8"/>
    <mergeCell ref="O9:O11"/>
    <mergeCell ref="U9:U11"/>
    <mergeCell ref="A8:A160"/>
    <mergeCell ref="B8:E8"/>
    <mergeCell ref="B9:B160"/>
    <mergeCell ref="C9:E9"/>
    <mergeCell ref="J9:J11"/>
    <mergeCell ref="K9:K11"/>
    <mergeCell ref="L9:L11"/>
    <mergeCell ref="M9:M11"/>
    <mergeCell ref="V30:X30"/>
    <mergeCell ref="V32:X32"/>
    <mergeCell ref="V33:X33"/>
    <mergeCell ref="V37:X37"/>
    <mergeCell ref="V38:X38"/>
    <mergeCell ref="V22:X22"/>
    <mergeCell ref="V23:X23"/>
    <mergeCell ref="V25:X25"/>
    <mergeCell ref="V27:X27"/>
    <mergeCell ref="V28:X28"/>
    <mergeCell ref="V53:X53"/>
    <mergeCell ref="V57:X57"/>
    <mergeCell ref="V58:X58"/>
    <mergeCell ref="V62:X62"/>
    <mergeCell ref="V63:X63"/>
    <mergeCell ref="V42:X42"/>
    <mergeCell ref="V43:X43"/>
    <mergeCell ref="V47:X47"/>
    <mergeCell ref="V48:X48"/>
    <mergeCell ref="V52:X52"/>
    <mergeCell ref="V1048576:X1048576"/>
    <mergeCell ref="V67:X67"/>
    <mergeCell ref="V68:X68"/>
    <mergeCell ref="V72:X72"/>
    <mergeCell ref="V73:X73"/>
    <mergeCell ref="V77:X77"/>
    <mergeCell ref="V78:X78"/>
    <mergeCell ref="V85:X85"/>
    <mergeCell ref="V86:X86"/>
    <mergeCell ref="V90:X90"/>
    <mergeCell ref="V91:X91"/>
    <mergeCell ref="V95:X95"/>
    <mergeCell ref="V96:X96"/>
    <mergeCell ref="V100:X100"/>
    <mergeCell ref="V101:X101"/>
    <mergeCell ref="V105:X105"/>
    <mergeCell ref="V121:X121"/>
    <mergeCell ref="V125:X125"/>
    <mergeCell ref="V126:X126"/>
    <mergeCell ref="V128:X128"/>
    <mergeCell ref="V130:X130"/>
    <mergeCell ref="V106:X106"/>
    <mergeCell ref="V115:X115"/>
    <mergeCell ref="V116:X116"/>
    <mergeCell ref="V118:X118"/>
    <mergeCell ref="V120:X120"/>
    <mergeCell ref="V170:X170"/>
    <mergeCell ref="V171:X171"/>
    <mergeCell ref="V145:X145"/>
    <mergeCell ref="V146:X146"/>
    <mergeCell ref="V150:X150"/>
    <mergeCell ref="V151:X151"/>
    <mergeCell ref="V155:X155"/>
    <mergeCell ref="V131:X131"/>
    <mergeCell ref="V135:X135"/>
    <mergeCell ref="V136:X136"/>
    <mergeCell ref="V140:X140"/>
    <mergeCell ref="V141:X141"/>
    <mergeCell ref="Y37:AD37"/>
    <mergeCell ref="Y38:AD38"/>
    <mergeCell ref="Y42:AD42"/>
    <mergeCell ref="Y43:AD43"/>
    <mergeCell ref="Y47:AD47"/>
    <mergeCell ref="V172:X172"/>
    <mergeCell ref="V173:X173"/>
    <mergeCell ref="V174:X174"/>
    <mergeCell ref="Y7:AD11"/>
    <mergeCell ref="Y12:AD12"/>
    <mergeCell ref="Y13:AD13"/>
    <mergeCell ref="Y17:AD17"/>
    <mergeCell ref="Y18:AD18"/>
    <mergeCell ref="Y22:AD22"/>
    <mergeCell ref="Y23:AD23"/>
    <mergeCell ref="Y25:AD25"/>
    <mergeCell ref="Y27:AD27"/>
    <mergeCell ref="Y28:AD28"/>
    <mergeCell ref="Y30:AD30"/>
    <mergeCell ref="Y32:AD32"/>
    <mergeCell ref="Y33:AD33"/>
    <mergeCell ref="V156:X156"/>
    <mergeCell ref="V160:X160"/>
    <mergeCell ref="V161:X161"/>
    <mergeCell ref="Y62:AD62"/>
    <mergeCell ref="Y63:AD63"/>
    <mergeCell ref="Y67:AD67"/>
    <mergeCell ref="Y68:AD68"/>
    <mergeCell ref="Y72:AD72"/>
    <mergeCell ref="Y48:AD48"/>
    <mergeCell ref="Y52:AD52"/>
    <mergeCell ref="Y53:AD53"/>
    <mergeCell ref="Y57:AD57"/>
    <mergeCell ref="Y58:AD58"/>
    <mergeCell ref="Y90:AD90"/>
    <mergeCell ref="Y91:AD91"/>
    <mergeCell ref="Y95:AD95"/>
    <mergeCell ref="Y96:AD96"/>
    <mergeCell ref="Y100:AD100"/>
    <mergeCell ref="Y73:AD73"/>
    <mergeCell ref="Y77:AD77"/>
    <mergeCell ref="Y78:AD78"/>
    <mergeCell ref="Y85:AD85"/>
    <mergeCell ref="Y86:AD86"/>
    <mergeCell ref="Y118:AD118"/>
    <mergeCell ref="Y120:AD120"/>
    <mergeCell ref="Y121:AD121"/>
    <mergeCell ref="Y125:AD125"/>
    <mergeCell ref="Y126:AD126"/>
    <mergeCell ref="Y101:AD101"/>
    <mergeCell ref="Y105:AD105"/>
    <mergeCell ref="Y106:AD106"/>
    <mergeCell ref="Y115:AD115"/>
    <mergeCell ref="Y116:AD116"/>
    <mergeCell ref="Y140:AD140"/>
    <mergeCell ref="Y141:AD141"/>
    <mergeCell ref="Y145:AD145"/>
    <mergeCell ref="Y146:AD146"/>
    <mergeCell ref="Y150:AD150"/>
    <mergeCell ref="Y128:AD128"/>
    <mergeCell ref="Y130:AD130"/>
    <mergeCell ref="Y131:AD131"/>
    <mergeCell ref="Y135:AD135"/>
    <mergeCell ref="Y136:AD136"/>
    <mergeCell ref="Y170:AD170"/>
    <mergeCell ref="Y171:AD171"/>
    <mergeCell ref="Y172:AD172"/>
    <mergeCell ref="Y173:AD173"/>
    <mergeCell ref="Y174:AD174"/>
    <mergeCell ref="Y151:AD151"/>
    <mergeCell ref="Y155:AD155"/>
    <mergeCell ref="Y156:AD156"/>
    <mergeCell ref="Y160:AD160"/>
    <mergeCell ref="Y161:AD161"/>
  </mergeCells>
  <pageMargins left="0.25" right="0.25" top="0.75" bottom="0.75" header="0.3" footer="0.3"/>
  <pageSetup paperSize="9" scale="1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9E10-8329-46C8-A710-B9E696323803}">
  <dimension ref="A1:BJ197"/>
  <sheetViews>
    <sheetView zoomScale="75" zoomScaleNormal="75" workbookViewId="0">
      <selection activeCell="E112" sqref="A112:XFD113"/>
    </sheetView>
  </sheetViews>
  <sheetFormatPr defaultRowHeight="20.25"/>
  <cols>
    <col min="1" max="1" width="5.42578125" style="1" customWidth="1"/>
    <col min="2" max="2" width="6.42578125" style="1" customWidth="1"/>
    <col min="3" max="4" width="5.42578125" style="1" customWidth="1"/>
    <col min="5" max="5" width="10.140625" style="1" customWidth="1"/>
    <col min="6" max="6" width="48.85546875" style="1" customWidth="1"/>
    <col min="7" max="8" width="18.28515625" style="1" hidden="1" customWidth="1"/>
    <col min="9" max="9" width="18.85546875" style="1" customWidth="1"/>
    <col min="10" max="10" width="17.42578125" style="1" hidden="1" customWidth="1"/>
    <col min="11" max="11" width="15.7109375" style="1" hidden="1" customWidth="1"/>
    <col min="12" max="12" width="16" style="1" hidden="1" customWidth="1"/>
    <col min="13" max="13" width="15.42578125" style="1" hidden="1" customWidth="1"/>
    <col min="14" max="14" width="14.28515625" style="1" hidden="1" customWidth="1"/>
    <col min="15" max="15" width="15.42578125" style="1" hidden="1" customWidth="1"/>
    <col min="16" max="16" width="14.5703125" style="1" hidden="1" customWidth="1"/>
    <col min="17" max="19" width="17.42578125" style="1" hidden="1" customWidth="1"/>
    <col min="20" max="20" width="15.140625" style="1" hidden="1" customWidth="1"/>
    <col min="21" max="21" width="14.85546875" style="1" hidden="1" customWidth="1"/>
    <col min="22" max="16384" width="9.140625" style="1"/>
  </cols>
  <sheetData>
    <row r="1" spans="1:21" ht="24.75" customHeight="1">
      <c r="U1" s="2" t="s">
        <v>74</v>
      </c>
    </row>
    <row r="2" spans="1:21" ht="15" customHeight="1">
      <c r="A2" s="174"/>
      <c r="B2" s="174"/>
      <c r="C2" s="174"/>
      <c r="D2" s="174"/>
      <c r="E2" s="174"/>
      <c r="F2" s="174"/>
      <c r="G2" s="174"/>
      <c r="H2" s="174"/>
      <c r="I2" s="174"/>
      <c r="U2" s="2" t="s">
        <v>73</v>
      </c>
    </row>
    <row r="3" spans="1:21" ht="12.75" customHeight="1">
      <c r="A3" s="175"/>
      <c r="B3" s="175"/>
      <c r="C3" s="175"/>
      <c r="D3" s="175"/>
      <c r="E3" s="175"/>
      <c r="F3" s="175"/>
      <c r="G3" s="175"/>
      <c r="H3" s="175"/>
      <c r="I3" s="175"/>
      <c r="U3" s="2" t="s">
        <v>72</v>
      </c>
    </row>
    <row r="4" spans="1:21" ht="12.75" customHeight="1">
      <c r="A4" s="118"/>
      <c r="B4" s="118"/>
      <c r="C4" s="118"/>
      <c r="D4" s="118"/>
      <c r="E4" s="118"/>
      <c r="F4" s="118"/>
      <c r="G4" s="118"/>
      <c r="H4" s="118"/>
      <c r="I4" s="118"/>
      <c r="U4" s="1" t="s">
        <v>71</v>
      </c>
    </row>
    <row r="5" spans="1:21" ht="12.75" customHeight="1">
      <c r="A5" s="118"/>
      <c r="B5" s="118"/>
      <c r="C5" s="118"/>
      <c r="D5" s="118"/>
      <c r="E5" s="118"/>
      <c r="F5" s="118"/>
      <c r="G5" s="118"/>
      <c r="H5" s="118"/>
      <c r="I5" s="118"/>
      <c r="U5" s="2"/>
    </row>
    <row r="6" spans="1:21" ht="57" customHeight="1">
      <c r="A6" s="176" t="s">
        <v>70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</row>
    <row r="7" spans="1:21" ht="15.75" customHeight="1">
      <c r="A7" s="178" t="s">
        <v>69</v>
      </c>
      <c r="B7" s="179"/>
      <c r="C7" s="179"/>
      <c r="D7" s="179"/>
      <c r="E7" s="179"/>
      <c r="F7" s="147" t="s">
        <v>68</v>
      </c>
      <c r="G7" s="171" t="s">
        <v>67</v>
      </c>
      <c r="H7" s="171" t="s">
        <v>75</v>
      </c>
      <c r="I7" s="147" t="s">
        <v>80</v>
      </c>
      <c r="J7" s="168" t="s">
        <v>66</v>
      </c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</row>
    <row r="8" spans="1:21" ht="25.5" customHeight="1">
      <c r="A8" s="166" t="s">
        <v>64</v>
      </c>
      <c r="B8" s="168" t="s">
        <v>63</v>
      </c>
      <c r="C8" s="168"/>
      <c r="D8" s="168"/>
      <c r="E8" s="168"/>
      <c r="F8" s="147"/>
      <c r="G8" s="172"/>
      <c r="H8" s="172"/>
      <c r="I8" s="147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</row>
    <row r="9" spans="1:21" ht="15.75" customHeight="1">
      <c r="A9" s="167"/>
      <c r="B9" s="169" t="s">
        <v>62</v>
      </c>
      <c r="C9" s="168" t="s">
        <v>61</v>
      </c>
      <c r="D9" s="168"/>
      <c r="E9" s="168"/>
      <c r="F9" s="147"/>
      <c r="G9" s="172"/>
      <c r="H9" s="172"/>
      <c r="I9" s="147"/>
      <c r="J9" s="171" t="s">
        <v>60</v>
      </c>
      <c r="K9" s="165" t="s">
        <v>59</v>
      </c>
      <c r="L9" s="165" t="s">
        <v>58</v>
      </c>
      <c r="M9" s="165" t="s">
        <v>57</v>
      </c>
      <c r="N9" s="165" t="s">
        <v>56</v>
      </c>
      <c r="O9" s="165" t="s">
        <v>55</v>
      </c>
      <c r="P9" s="165" t="s">
        <v>54</v>
      </c>
      <c r="Q9" s="165" t="s">
        <v>53</v>
      </c>
      <c r="R9" s="165" t="s">
        <v>52</v>
      </c>
      <c r="S9" s="165" t="s">
        <v>51</v>
      </c>
      <c r="T9" s="165" t="s">
        <v>50</v>
      </c>
      <c r="U9" s="165" t="s">
        <v>49</v>
      </c>
    </row>
    <row r="10" spans="1:21" ht="30" customHeight="1">
      <c r="A10" s="167"/>
      <c r="B10" s="170"/>
      <c r="C10" s="169" t="s">
        <v>48</v>
      </c>
      <c r="D10" s="168" t="s">
        <v>47</v>
      </c>
      <c r="E10" s="168"/>
      <c r="F10" s="147"/>
      <c r="G10" s="172"/>
      <c r="H10" s="172"/>
      <c r="I10" s="147"/>
      <c r="J10" s="172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</row>
    <row r="11" spans="1:21" ht="39.75" customHeight="1">
      <c r="A11" s="167"/>
      <c r="B11" s="170"/>
      <c r="C11" s="170"/>
      <c r="D11" s="180" t="s">
        <v>46</v>
      </c>
      <c r="E11" s="4" t="s">
        <v>45</v>
      </c>
      <c r="F11" s="147"/>
      <c r="G11" s="173"/>
      <c r="H11" s="173"/>
      <c r="I11" s="147"/>
      <c r="J11" s="173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</row>
    <row r="12" spans="1:21" ht="39" customHeight="1">
      <c r="A12" s="167"/>
      <c r="B12" s="170"/>
      <c r="C12" s="170"/>
      <c r="D12" s="181"/>
      <c r="E12" s="5">
        <v>1</v>
      </c>
      <c r="F12" s="6" t="s">
        <v>44</v>
      </c>
      <c r="G12" s="7">
        <f>G13+G14+G15+G16</f>
        <v>58833</v>
      </c>
      <c r="H12" s="7">
        <v>137818</v>
      </c>
      <c r="I12" s="7">
        <f t="shared" ref="I12:U12" si="0">I13+I14+I15+I16</f>
        <v>55668</v>
      </c>
      <c r="J12" s="8">
        <f t="shared" si="0"/>
        <v>0</v>
      </c>
      <c r="K12" s="7">
        <f t="shared" si="0"/>
        <v>9536</v>
      </c>
      <c r="L12" s="7">
        <f t="shared" si="0"/>
        <v>4768</v>
      </c>
      <c r="M12" s="7">
        <f t="shared" si="0"/>
        <v>4788</v>
      </c>
      <c r="N12" s="7">
        <f t="shared" si="0"/>
        <v>5838</v>
      </c>
      <c r="O12" s="7">
        <f t="shared" si="0"/>
        <v>4768</v>
      </c>
      <c r="P12" s="7">
        <f t="shared" si="0"/>
        <v>17368</v>
      </c>
      <c r="Q12" s="7">
        <f t="shared" si="0"/>
        <v>1911</v>
      </c>
      <c r="R12" s="7">
        <f t="shared" si="0"/>
        <v>1686</v>
      </c>
      <c r="S12" s="7">
        <f t="shared" si="0"/>
        <v>1666</v>
      </c>
      <c r="T12" s="7">
        <f t="shared" si="0"/>
        <v>1666</v>
      </c>
      <c r="U12" s="7">
        <f t="shared" si="0"/>
        <v>1673</v>
      </c>
    </row>
    <row r="13" spans="1:21" ht="39" customHeight="1">
      <c r="A13" s="167"/>
      <c r="B13" s="170"/>
      <c r="C13" s="170"/>
      <c r="D13" s="181"/>
      <c r="E13" s="5"/>
      <c r="F13" s="6" t="s">
        <v>5</v>
      </c>
      <c r="G13" s="7">
        <v>34559</v>
      </c>
      <c r="H13" s="7"/>
      <c r="I13" s="7">
        <f>J13+K13+L13+M13+N13+O13+P13+Q13+R13+S13+T13+U13</f>
        <v>34559</v>
      </c>
      <c r="J13" s="9">
        <v>0</v>
      </c>
      <c r="K13" s="10">
        <v>6204</v>
      </c>
      <c r="L13" s="10">
        <v>3102</v>
      </c>
      <c r="M13" s="10">
        <v>3102</v>
      </c>
      <c r="N13" s="10">
        <v>3102</v>
      </c>
      <c r="O13" s="10">
        <v>3102</v>
      </c>
      <c r="P13" s="10">
        <v>15702</v>
      </c>
      <c r="Q13" s="10">
        <f>14802-14557</f>
        <v>245</v>
      </c>
      <c r="R13" s="10"/>
      <c r="S13" s="10"/>
      <c r="T13" s="10"/>
      <c r="U13" s="10"/>
    </row>
    <row r="14" spans="1:21" ht="39" hidden="1" customHeight="1">
      <c r="A14" s="167"/>
      <c r="B14" s="170"/>
      <c r="C14" s="170"/>
      <c r="D14" s="181"/>
      <c r="E14" s="5"/>
      <c r="F14" s="6" t="s">
        <v>27</v>
      </c>
      <c r="G14" s="7">
        <v>10359</v>
      </c>
      <c r="H14" s="7"/>
      <c r="I14" s="7">
        <f>J14+K14+L14+M14+N14+O14+P14+Q14+R14+S14+T14+U14</f>
        <v>8719</v>
      </c>
      <c r="J14" s="11">
        <v>0</v>
      </c>
      <c r="K14" s="12">
        <v>1268</v>
      </c>
      <c r="L14" s="12">
        <v>634</v>
      </c>
      <c r="M14" s="12">
        <v>654</v>
      </c>
      <c r="N14" s="12">
        <v>1704</v>
      </c>
      <c r="O14" s="12">
        <v>634</v>
      </c>
      <c r="P14" s="12">
        <v>634</v>
      </c>
      <c r="Q14" s="12">
        <v>634</v>
      </c>
      <c r="R14" s="12">
        <v>654</v>
      </c>
      <c r="S14" s="12">
        <v>634</v>
      </c>
      <c r="T14" s="12">
        <v>634</v>
      </c>
      <c r="U14" s="12">
        <v>635</v>
      </c>
    </row>
    <row r="15" spans="1:21" ht="39" hidden="1" customHeight="1">
      <c r="A15" s="167"/>
      <c r="B15" s="170"/>
      <c r="C15" s="170"/>
      <c r="D15" s="181"/>
      <c r="E15" s="5"/>
      <c r="F15" s="6" t="s">
        <v>3</v>
      </c>
      <c r="G15" s="7"/>
      <c r="H15" s="7"/>
      <c r="I15" s="7">
        <f>J15+K15+L15+M15+N15+O15+P15+Q15+R15+S15+T15+U15</f>
        <v>0</v>
      </c>
      <c r="J15" s="9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39" hidden="1" customHeight="1">
      <c r="A16" s="167"/>
      <c r="B16" s="170"/>
      <c r="C16" s="170"/>
      <c r="D16" s="181"/>
      <c r="E16" s="5"/>
      <c r="F16" s="6">
        <v>324</v>
      </c>
      <c r="G16" s="7">
        <v>13915</v>
      </c>
      <c r="H16" s="7"/>
      <c r="I16" s="7">
        <f>J16+K16+L16+M16+N16+O16+P16+Q16+R16+S16+T16+U16</f>
        <v>12390</v>
      </c>
      <c r="J16" s="13">
        <f>1032-1032</f>
        <v>0</v>
      </c>
      <c r="K16" s="14">
        <f>1032+1032</f>
        <v>2064</v>
      </c>
      <c r="L16" s="14">
        <v>1032</v>
      </c>
      <c r="M16" s="14">
        <v>1032</v>
      </c>
      <c r="N16" s="14">
        <v>1032</v>
      </c>
      <c r="O16" s="14">
        <v>1032</v>
      </c>
      <c r="P16" s="14">
        <v>1032</v>
      </c>
      <c r="Q16" s="14">
        <v>1032</v>
      </c>
      <c r="R16" s="14">
        <v>1032</v>
      </c>
      <c r="S16" s="14">
        <v>1032</v>
      </c>
      <c r="T16" s="14">
        <v>1032</v>
      </c>
      <c r="U16" s="14">
        <v>1038</v>
      </c>
    </row>
    <row r="17" spans="1:21" ht="39" customHeight="1">
      <c r="A17" s="167"/>
      <c r="B17" s="170"/>
      <c r="C17" s="170"/>
      <c r="D17" s="181"/>
      <c r="E17" s="5">
        <f>E12+1</f>
        <v>2</v>
      </c>
      <c r="F17" s="6" t="s">
        <v>43</v>
      </c>
      <c r="G17" s="7">
        <f>G18+G19+G20+G21</f>
        <v>91825</v>
      </c>
      <c r="H17" s="7">
        <v>127682</v>
      </c>
      <c r="I17" s="7">
        <f t="shared" ref="I17:U17" si="1">I18+I19+I20+I21</f>
        <v>91825</v>
      </c>
      <c r="J17" s="8">
        <f t="shared" si="1"/>
        <v>0</v>
      </c>
      <c r="K17" s="7">
        <f t="shared" si="1"/>
        <v>21880</v>
      </c>
      <c r="L17" s="7">
        <f t="shared" si="1"/>
        <v>10699</v>
      </c>
      <c r="M17" s="7">
        <f t="shared" si="1"/>
        <v>11654</v>
      </c>
      <c r="N17" s="7">
        <f t="shared" si="1"/>
        <v>10055</v>
      </c>
      <c r="O17" s="7">
        <f t="shared" si="1"/>
        <v>12388</v>
      </c>
      <c r="P17" s="7">
        <f t="shared" si="1"/>
        <v>17359</v>
      </c>
      <c r="Q17" s="7">
        <f t="shared" si="1"/>
        <v>5555</v>
      </c>
      <c r="R17" s="7">
        <f t="shared" si="1"/>
        <v>641</v>
      </c>
      <c r="S17" s="7">
        <f t="shared" si="1"/>
        <v>418</v>
      </c>
      <c r="T17" s="7">
        <f t="shared" si="1"/>
        <v>588</v>
      </c>
      <c r="U17" s="7">
        <f t="shared" si="1"/>
        <v>588</v>
      </c>
    </row>
    <row r="18" spans="1:21" ht="39" customHeight="1">
      <c r="A18" s="167"/>
      <c r="B18" s="170"/>
      <c r="C18" s="170"/>
      <c r="D18" s="181"/>
      <c r="E18" s="5"/>
      <c r="F18" s="6" t="s">
        <v>5</v>
      </c>
      <c r="G18" s="7">
        <v>56349</v>
      </c>
      <c r="H18" s="7"/>
      <c r="I18" s="7">
        <f>J18+K18+L18+M18+N18+O18+P18+Q18+R18+S18+T18+U18</f>
        <v>56349</v>
      </c>
      <c r="J18" s="9">
        <v>0</v>
      </c>
      <c r="K18" s="10">
        <v>12685</v>
      </c>
      <c r="L18" s="10">
        <v>5880</v>
      </c>
      <c r="M18" s="10">
        <v>5835</v>
      </c>
      <c r="N18" s="10">
        <v>5786</v>
      </c>
      <c r="O18" s="10">
        <v>5590</v>
      </c>
      <c r="P18" s="10">
        <v>12783</v>
      </c>
      <c r="Q18" s="10">
        <v>5555</v>
      </c>
      <c r="R18" s="10">
        <f>5711-5070</f>
        <v>641</v>
      </c>
      <c r="S18" s="10">
        <v>418</v>
      </c>
      <c r="T18" s="10">
        <v>588</v>
      </c>
      <c r="U18" s="10">
        <v>588</v>
      </c>
    </row>
    <row r="19" spans="1:21" ht="39" hidden="1" customHeight="1">
      <c r="A19" s="167"/>
      <c r="B19" s="170"/>
      <c r="C19" s="170"/>
      <c r="D19" s="181"/>
      <c r="E19" s="5"/>
      <c r="F19" s="6" t="s">
        <v>27</v>
      </c>
      <c r="G19" s="7">
        <v>15417</v>
      </c>
      <c r="H19" s="7"/>
      <c r="I19" s="7">
        <f>J19+K19+L19+M19+N19+O19+P19+Q19+R19+S19+T19+U19</f>
        <v>15417</v>
      </c>
      <c r="J19" s="15">
        <v>0</v>
      </c>
      <c r="K19" s="10">
        <v>3557</v>
      </c>
      <c r="L19" s="10">
        <v>2000</v>
      </c>
      <c r="M19" s="10">
        <v>3000</v>
      </c>
      <c r="N19" s="10">
        <v>1449</v>
      </c>
      <c r="O19" s="10">
        <f>2000+1978</f>
        <v>3978</v>
      </c>
      <c r="P19" s="10">
        <f>1832-399</f>
        <v>1433</v>
      </c>
      <c r="Q19" s="10"/>
      <c r="R19" s="10"/>
      <c r="S19" s="10">
        <v>0</v>
      </c>
      <c r="T19" s="10">
        <v>0</v>
      </c>
      <c r="U19" s="10">
        <v>0</v>
      </c>
    </row>
    <row r="20" spans="1:21" ht="39" hidden="1" customHeight="1">
      <c r="A20" s="167"/>
      <c r="B20" s="170"/>
      <c r="C20" s="170"/>
      <c r="D20" s="181"/>
      <c r="E20" s="5"/>
      <c r="F20" s="6" t="s">
        <v>3</v>
      </c>
      <c r="G20" s="7"/>
      <c r="H20" s="7"/>
      <c r="I20" s="7">
        <f>J20+K20+L20+M20+N20+O20+P20+Q20+R20+S20+T20+U20</f>
        <v>0</v>
      </c>
      <c r="J20" s="9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39" hidden="1" customHeight="1">
      <c r="A21" s="167"/>
      <c r="B21" s="170"/>
      <c r="C21" s="170"/>
      <c r="D21" s="181"/>
      <c r="E21" s="5"/>
      <c r="F21" s="6">
        <v>324</v>
      </c>
      <c r="G21" s="7">
        <v>20059</v>
      </c>
      <c r="H21" s="7"/>
      <c r="I21" s="7">
        <f>J21+K21+L21+M21+N21+O21+P21+Q21+R21+S21+T21+U21</f>
        <v>20059</v>
      </c>
      <c r="J21" s="16">
        <f>2819-2819</f>
        <v>0</v>
      </c>
      <c r="K21" s="17">
        <f>2819+2819</f>
        <v>5638</v>
      </c>
      <c r="L21" s="17">
        <v>2819</v>
      </c>
      <c r="M21" s="17">
        <v>2819</v>
      </c>
      <c r="N21" s="17">
        <v>2820</v>
      </c>
      <c r="O21" s="17">
        <v>2820</v>
      </c>
      <c r="P21" s="17">
        <f>4000-857</f>
        <v>3143</v>
      </c>
      <c r="Q21" s="17">
        <v>0</v>
      </c>
      <c r="R21" s="17"/>
      <c r="S21" s="17"/>
      <c r="T21" s="17"/>
      <c r="U21" s="17"/>
    </row>
    <row r="22" spans="1:21" ht="39" customHeight="1">
      <c r="A22" s="167"/>
      <c r="B22" s="170"/>
      <c r="C22" s="170"/>
      <c r="D22" s="181"/>
      <c r="E22" s="5">
        <f>E17+1</f>
        <v>3</v>
      </c>
      <c r="F22" s="6" t="s">
        <v>42</v>
      </c>
      <c r="G22" s="7">
        <f>G23+G24+G25+G26</f>
        <v>213286</v>
      </c>
      <c r="H22" s="7">
        <v>289880</v>
      </c>
      <c r="I22" s="7">
        <f t="shared" ref="I22:U22" si="2">I23+I24+I25+I26</f>
        <v>222764</v>
      </c>
      <c r="J22" s="8">
        <f t="shared" si="2"/>
        <v>0</v>
      </c>
      <c r="K22" s="7">
        <f t="shared" si="2"/>
        <v>45085</v>
      </c>
      <c r="L22" s="7">
        <f t="shared" si="2"/>
        <v>21540</v>
      </c>
      <c r="M22" s="7">
        <f t="shared" si="2"/>
        <v>23279</v>
      </c>
      <c r="N22" s="7">
        <f t="shared" si="2"/>
        <v>23491</v>
      </c>
      <c r="O22" s="7">
        <f t="shared" si="2"/>
        <v>22166</v>
      </c>
      <c r="P22" s="7">
        <f t="shared" si="2"/>
        <v>34302</v>
      </c>
      <c r="Q22" s="7">
        <f t="shared" si="2"/>
        <v>6136</v>
      </c>
      <c r="R22" s="7">
        <f t="shared" si="2"/>
        <v>8754</v>
      </c>
      <c r="S22" s="7">
        <f t="shared" si="2"/>
        <v>17117</v>
      </c>
      <c r="T22" s="7">
        <f t="shared" si="2"/>
        <v>10343</v>
      </c>
      <c r="U22" s="7">
        <f t="shared" si="2"/>
        <v>10551</v>
      </c>
    </row>
    <row r="23" spans="1:21" ht="39" customHeight="1">
      <c r="A23" s="167"/>
      <c r="B23" s="170"/>
      <c r="C23" s="170"/>
      <c r="D23" s="181"/>
      <c r="E23" s="5"/>
      <c r="F23" s="6" t="s">
        <v>5</v>
      </c>
      <c r="G23" s="7">
        <v>135743</v>
      </c>
      <c r="H23" s="7"/>
      <c r="I23" s="7">
        <f>J23+K23+L23+M23+N23+O23+P23+Q23+R23+S23+T23+U23</f>
        <v>135743</v>
      </c>
      <c r="J23" s="9">
        <v>0</v>
      </c>
      <c r="K23" s="10">
        <v>28689</v>
      </c>
      <c r="L23" s="10">
        <v>14242</v>
      </c>
      <c r="M23" s="10">
        <v>14242</v>
      </c>
      <c r="N23" s="10">
        <v>14242</v>
      </c>
      <c r="O23" s="10">
        <v>14242</v>
      </c>
      <c r="P23" s="10">
        <v>28666</v>
      </c>
      <c r="Q23" s="10">
        <v>500</v>
      </c>
      <c r="R23" s="10">
        <f>12800-10468</f>
        <v>2332</v>
      </c>
      <c r="S23" s="10">
        <v>12631</v>
      </c>
      <c r="T23" s="10">
        <v>5752</v>
      </c>
      <c r="U23" s="10">
        <v>205</v>
      </c>
    </row>
    <row r="24" spans="1:21" ht="39" hidden="1" customHeight="1">
      <c r="A24" s="167"/>
      <c r="B24" s="170"/>
      <c r="C24" s="170"/>
      <c r="D24" s="181"/>
      <c r="E24" s="5"/>
      <c r="F24" s="6" t="s">
        <v>27</v>
      </c>
      <c r="G24" s="7">
        <v>38970</v>
      </c>
      <c r="H24" s="7"/>
      <c r="I24" s="7">
        <f>J24+K24+L24+M24+N24+O24+P24+Q24+R24+S24+T24+U24</f>
        <v>29060</v>
      </c>
      <c r="J24" s="11">
        <v>0</v>
      </c>
      <c r="K24" s="12">
        <v>7180</v>
      </c>
      <c r="L24" s="12">
        <v>2690</v>
      </c>
      <c r="M24" s="12">
        <v>2690</v>
      </c>
      <c r="N24" s="12">
        <v>2690</v>
      </c>
      <c r="O24" s="12">
        <v>3316</v>
      </c>
      <c r="P24" s="12">
        <v>0</v>
      </c>
      <c r="Q24" s="12">
        <v>0</v>
      </c>
      <c r="R24" s="12">
        <v>2690</v>
      </c>
      <c r="S24" s="12">
        <v>2690</v>
      </c>
      <c r="T24" s="12">
        <v>2663</v>
      </c>
      <c r="U24" s="12">
        <v>2451</v>
      </c>
    </row>
    <row r="25" spans="1:21" ht="39" customHeight="1">
      <c r="A25" s="167"/>
      <c r="B25" s="170"/>
      <c r="C25" s="170"/>
      <c r="D25" s="181"/>
      <c r="E25" s="5"/>
      <c r="F25" s="6" t="s">
        <v>16</v>
      </c>
      <c r="G25" s="7"/>
      <c r="H25" s="7"/>
      <c r="I25" s="7">
        <f>J25+K25+L25+M25+N25+O25+P25+Q25+R25+S25+T25+U25</f>
        <v>19388</v>
      </c>
      <c r="J25" s="18">
        <f>31490-31490</f>
        <v>0</v>
      </c>
      <c r="K25" s="19">
        <f>22881-22881</f>
        <v>0</v>
      </c>
      <c r="L25" s="19">
        <f>8396-8396</f>
        <v>0</v>
      </c>
      <c r="M25" s="19">
        <f>1952-213</f>
        <v>1739</v>
      </c>
      <c r="N25" s="19">
        <v>1951</v>
      </c>
      <c r="O25" s="19">
        <f>2411-2411</f>
        <v>0</v>
      </c>
      <c r="P25" s="19">
        <v>1928</v>
      </c>
      <c r="Q25" s="19">
        <v>1928</v>
      </c>
      <c r="R25" s="19">
        <f>1928+1017</f>
        <v>2945</v>
      </c>
      <c r="S25" s="19">
        <v>1796</v>
      </c>
      <c r="T25" s="19">
        <v>1928</v>
      </c>
      <c r="U25" s="19">
        <f>7207-2034</f>
        <v>5173</v>
      </c>
    </row>
    <row r="26" spans="1:21" ht="39" hidden="1" customHeight="1">
      <c r="A26" s="167"/>
      <c r="B26" s="170"/>
      <c r="C26" s="170"/>
      <c r="D26" s="181"/>
      <c r="E26" s="5"/>
      <c r="F26" s="6">
        <v>324</v>
      </c>
      <c r="G26" s="7">
        <v>38573</v>
      </c>
      <c r="H26" s="7"/>
      <c r="I26" s="7">
        <f>J26+K26+L26+M26+N26+O26+P26+Q26+R26+S26+T26+U26</f>
        <v>38573</v>
      </c>
      <c r="J26" s="20">
        <f>4608-4608</f>
        <v>0</v>
      </c>
      <c r="K26" s="21">
        <f>4608+4608</f>
        <v>9216</v>
      </c>
      <c r="L26" s="21">
        <v>4608</v>
      </c>
      <c r="M26" s="21">
        <v>4608</v>
      </c>
      <c r="N26" s="21">
        <v>4608</v>
      </c>
      <c r="O26" s="21">
        <v>4608</v>
      </c>
      <c r="P26" s="21">
        <v>3708</v>
      </c>
      <c r="Q26" s="21">
        <v>3708</v>
      </c>
      <c r="R26" s="21">
        <f>5000-4213</f>
        <v>787</v>
      </c>
      <c r="S26" s="21"/>
      <c r="T26" s="21"/>
      <c r="U26" s="21">
        <v>2722</v>
      </c>
    </row>
    <row r="27" spans="1:21" ht="39" customHeight="1">
      <c r="A27" s="167"/>
      <c r="B27" s="170"/>
      <c r="C27" s="170"/>
      <c r="D27" s="181"/>
      <c r="E27" s="5">
        <f>E22+1</f>
        <v>4</v>
      </c>
      <c r="F27" s="6" t="s">
        <v>41</v>
      </c>
      <c r="G27" s="7">
        <f>G28+G29+G30+G31</f>
        <v>0</v>
      </c>
      <c r="H27" s="7">
        <v>21762</v>
      </c>
      <c r="I27" s="7">
        <f t="shared" ref="I27:U27" si="3">I28+I29+I30+I31</f>
        <v>22378</v>
      </c>
      <c r="J27" s="8">
        <f t="shared" si="3"/>
        <v>0</v>
      </c>
      <c r="K27" s="7">
        <f t="shared" si="3"/>
        <v>3560</v>
      </c>
      <c r="L27" s="7">
        <f t="shared" si="3"/>
        <v>1805</v>
      </c>
      <c r="M27" s="7">
        <f t="shared" si="3"/>
        <v>1783</v>
      </c>
      <c r="N27" s="7">
        <f t="shared" si="3"/>
        <v>1780</v>
      </c>
      <c r="O27" s="7">
        <f t="shared" si="3"/>
        <v>1780</v>
      </c>
      <c r="P27" s="7">
        <f t="shared" si="3"/>
        <v>4520</v>
      </c>
      <c r="Q27" s="7">
        <f t="shared" si="3"/>
        <v>0</v>
      </c>
      <c r="R27" s="7">
        <f t="shared" si="3"/>
        <v>1810</v>
      </c>
      <c r="S27" s="7">
        <f t="shared" si="3"/>
        <v>1780</v>
      </c>
      <c r="T27" s="7">
        <f t="shared" si="3"/>
        <v>1780</v>
      </c>
      <c r="U27" s="7">
        <f t="shared" si="3"/>
        <v>1780</v>
      </c>
    </row>
    <row r="28" spans="1:21" ht="39" customHeight="1">
      <c r="A28" s="167"/>
      <c r="B28" s="170"/>
      <c r="C28" s="170"/>
      <c r="D28" s="181"/>
      <c r="E28" s="5"/>
      <c r="F28" s="6" t="s">
        <v>40</v>
      </c>
      <c r="G28" s="7">
        <v>0</v>
      </c>
      <c r="H28" s="7"/>
      <c r="I28" s="7">
        <f>J28+K28+L28+M28+N28+O28+P28+Q28+R28+S28+T28+U28</f>
        <v>0</v>
      </c>
      <c r="J28" s="8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</row>
    <row r="29" spans="1:21" ht="39" hidden="1" customHeight="1">
      <c r="A29" s="167"/>
      <c r="B29" s="170"/>
      <c r="C29" s="170"/>
      <c r="D29" s="181"/>
      <c r="E29" s="5"/>
      <c r="F29" s="6" t="s">
        <v>27</v>
      </c>
      <c r="G29" s="7">
        <v>0</v>
      </c>
      <c r="H29" s="7"/>
      <c r="I29" s="7">
        <f>J29+K29+L29+M29+N29+O29+P29+Q29+R29+S29+T29+U29</f>
        <v>0</v>
      </c>
      <c r="J29" s="9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ht="39" customHeight="1">
      <c r="A30" s="167"/>
      <c r="B30" s="170"/>
      <c r="C30" s="170"/>
      <c r="D30" s="181"/>
      <c r="E30" s="5"/>
      <c r="F30" s="6" t="s">
        <v>16</v>
      </c>
      <c r="G30" s="7"/>
      <c r="H30" s="7"/>
      <c r="I30" s="7">
        <f>J30+K30+L30+M30+N30+O30+P30+Q30+R30+S30+T30+U30</f>
        <v>22378</v>
      </c>
      <c r="J30" s="9">
        <v>0</v>
      </c>
      <c r="K30" s="10">
        <v>3560</v>
      </c>
      <c r="L30" s="10">
        <v>1805</v>
      </c>
      <c r="M30" s="10">
        <v>1783</v>
      </c>
      <c r="N30" s="10">
        <v>1780</v>
      </c>
      <c r="O30" s="10">
        <v>1780</v>
      </c>
      <c r="P30" s="10">
        <v>4520</v>
      </c>
      <c r="Q30" s="10">
        <v>0</v>
      </c>
      <c r="R30" s="10">
        <v>1810</v>
      </c>
      <c r="S30" s="10">
        <v>1780</v>
      </c>
      <c r="T30" s="10">
        <v>1780</v>
      </c>
      <c r="U30" s="10">
        <v>1780</v>
      </c>
    </row>
    <row r="31" spans="1:21" ht="39" hidden="1" customHeight="1">
      <c r="A31" s="167"/>
      <c r="B31" s="170"/>
      <c r="C31" s="170"/>
      <c r="D31" s="181"/>
      <c r="E31" s="5"/>
      <c r="F31" s="6">
        <v>324</v>
      </c>
      <c r="G31" s="7">
        <v>0</v>
      </c>
      <c r="H31" s="7"/>
      <c r="I31" s="7">
        <f>J31+K31+L31+M31+N31+O31+P31+Q31+R31+S31+T31+U31</f>
        <v>0</v>
      </c>
      <c r="J31" s="9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ht="39" customHeight="1">
      <c r="A32" s="167"/>
      <c r="B32" s="170"/>
      <c r="C32" s="170"/>
      <c r="D32" s="181"/>
      <c r="E32" s="5">
        <f>E27+1</f>
        <v>5</v>
      </c>
      <c r="F32" s="6" t="s">
        <v>39</v>
      </c>
      <c r="G32" s="7">
        <f>G33+G34+G35+G36</f>
        <v>34455</v>
      </c>
      <c r="H32" s="7">
        <v>72126</v>
      </c>
      <c r="I32" s="7">
        <f t="shared" ref="I32:U32" si="4">I33+I34+I35+I36</f>
        <v>34455.4</v>
      </c>
      <c r="J32" s="8">
        <f t="shared" si="4"/>
        <v>1081</v>
      </c>
      <c r="K32" s="7">
        <f t="shared" si="4"/>
        <v>9874</v>
      </c>
      <c r="L32" s="7">
        <f t="shared" si="4"/>
        <v>6142.7</v>
      </c>
      <c r="M32" s="7">
        <f t="shared" si="4"/>
        <v>5622.7</v>
      </c>
      <c r="N32" s="7">
        <f t="shared" si="4"/>
        <v>3105</v>
      </c>
      <c r="O32" s="7">
        <f t="shared" si="4"/>
        <v>784</v>
      </c>
      <c r="P32" s="7">
        <f t="shared" si="4"/>
        <v>899</v>
      </c>
      <c r="Q32" s="7">
        <f t="shared" si="4"/>
        <v>523</v>
      </c>
      <c r="R32" s="7">
        <f t="shared" si="4"/>
        <v>1861</v>
      </c>
      <c r="S32" s="7">
        <f t="shared" si="4"/>
        <v>1042</v>
      </c>
      <c r="T32" s="7">
        <f t="shared" si="4"/>
        <v>1042</v>
      </c>
      <c r="U32" s="7">
        <f t="shared" si="4"/>
        <v>2479</v>
      </c>
    </row>
    <row r="33" spans="1:21" ht="39" customHeight="1">
      <c r="A33" s="167"/>
      <c r="B33" s="170"/>
      <c r="C33" s="170"/>
      <c r="D33" s="181"/>
      <c r="E33" s="5"/>
      <c r="F33" s="6" t="s">
        <v>5</v>
      </c>
      <c r="G33" s="7">
        <v>18627</v>
      </c>
      <c r="H33" s="7"/>
      <c r="I33" s="7">
        <f>J33+K33+L33+M33+N33+O33+P33+Q33+R33+S33+T33+U33</f>
        <v>18627.400000000001</v>
      </c>
      <c r="J33" s="9">
        <v>0</v>
      </c>
      <c r="K33" s="10">
        <v>8459</v>
      </c>
      <c r="L33" s="10">
        <v>4228.7</v>
      </c>
      <c r="M33" s="10">
        <v>4228.7</v>
      </c>
      <c r="N33" s="10">
        <f>4229-2518</f>
        <v>1711</v>
      </c>
      <c r="O33" s="10"/>
      <c r="P33" s="10"/>
      <c r="Q33" s="10"/>
      <c r="R33" s="10"/>
      <c r="S33" s="10"/>
      <c r="T33" s="10"/>
      <c r="U33" s="10"/>
    </row>
    <row r="34" spans="1:21" ht="39" hidden="1" customHeight="1">
      <c r="A34" s="167"/>
      <c r="B34" s="170"/>
      <c r="C34" s="170"/>
      <c r="D34" s="181"/>
      <c r="E34" s="5"/>
      <c r="F34" s="6" t="s">
        <v>27</v>
      </c>
      <c r="G34" s="7">
        <v>6548</v>
      </c>
      <c r="H34" s="7"/>
      <c r="I34" s="7">
        <f>J34+K34+L34+M34+N34+O34+P34+Q34+R34+S34+T34+U34</f>
        <v>6548</v>
      </c>
      <c r="J34" s="11">
        <v>0</v>
      </c>
      <c r="K34" s="12">
        <v>928</v>
      </c>
      <c r="L34" s="12">
        <v>1130</v>
      </c>
      <c r="M34" s="12">
        <v>610</v>
      </c>
      <c r="N34" s="12">
        <v>610</v>
      </c>
      <c r="O34" s="12"/>
      <c r="P34" s="12">
        <f>610-235</f>
        <v>375</v>
      </c>
      <c r="Q34" s="12">
        <v>0</v>
      </c>
      <c r="R34" s="12">
        <f>519+819</f>
        <v>1338</v>
      </c>
      <c r="S34" s="12">
        <v>519.00000000000011</v>
      </c>
      <c r="T34" s="12">
        <v>519.00000000000011</v>
      </c>
      <c r="U34" s="12">
        <v>519.00000000000011</v>
      </c>
    </row>
    <row r="35" spans="1:21" ht="39" hidden="1" customHeight="1">
      <c r="A35" s="167"/>
      <c r="B35" s="170"/>
      <c r="C35" s="170"/>
      <c r="D35" s="181"/>
      <c r="E35" s="5"/>
      <c r="F35" s="6" t="s">
        <v>3</v>
      </c>
      <c r="G35" s="7"/>
      <c r="H35" s="7"/>
      <c r="I35" s="7">
        <f>J35+K35+L35+M35+N35+O35+P35+Q35+R35+S35+T35+U35</f>
        <v>0</v>
      </c>
      <c r="J35" s="9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ht="39" hidden="1" customHeight="1">
      <c r="A36" s="167"/>
      <c r="B36" s="170"/>
      <c r="C36" s="170"/>
      <c r="D36" s="181"/>
      <c r="E36" s="5"/>
      <c r="F36" s="6">
        <v>324</v>
      </c>
      <c r="G36" s="7">
        <v>9280</v>
      </c>
      <c r="H36" s="7"/>
      <c r="I36" s="7">
        <f>J36+K36+L36+M36+N36+O36+P36+Q36+R36+S36+T36+U36</f>
        <v>9280</v>
      </c>
      <c r="J36" s="16">
        <f>784+1+296</f>
        <v>1081</v>
      </c>
      <c r="K36" s="17">
        <f>784-297</f>
        <v>487</v>
      </c>
      <c r="L36" s="17">
        <v>784</v>
      </c>
      <c r="M36" s="17">
        <v>784</v>
      </c>
      <c r="N36" s="17">
        <v>784</v>
      </c>
      <c r="O36" s="17">
        <v>784</v>
      </c>
      <c r="P36" s="17">
        <v>524</v>
      </c>
      <c r="Q36" s="17">
        <v>523</v>
      </c>
      <c r="R36" s="17">
        <v>523</v>
      </c>
      <c r="S36" s="17">
        <v>523</v>
      </c>
      <c r="T36" s="17">
        <v>523</v>
      </c>
      <c r="U36" s="17">
        <f>523+1437</f>
        <v>1960</v>
      </c>
    </row>
    <row r="37" spans="1:21" ht="39" customHeight="1">
      <c r="A37" s="167"/>
      <c r="B37" s="170"/>
      <c r="C37" s="170"/>
      <c r="D37" s="181"/>
      <c r="E37" s="5">
        <f>E32+1</f>
        <v>6</v>
      </c>
      <c r="F37" s="6" t="s">
        <v>38</v>
      </c>
      <c r="G37" s="7">
        <f>G38+G39+G40+G41</f>
        <v>169809</v>
      </c>
      <c r="H37" s="7">
        <v>344617</v>
      </c>
      <c r="I37" s="7">
        <f t="shared" ref="I37:U37" si="5">I38+I39+I40+I41</f>
        <v>169808.9</v>
      </c>
      <c r="J37" s="8">
        <f t="shared" si="5"/>
        <v>0</v>
      </c>
      <c r="K37" s="7">
        <f t="shared" si="5"/>
        <v>31871.9</v>
      </c>
      <c r="L37" s="7">
        <f t="shared" si="5"/>
        <v>15743</v>
      </c>
      <c r="M37" s="7">
        <f t="shared" si="5"/>
        <v>15182</v>
      </c>
      <c r="N37" s="7">
        <f t="shared" si="5"/>
        <v>32447</v>
      </c>
      <c r="O37" s="7">
        <f t="shared" si="5"/>
        <v>16764</v>
      </c>
      <c r="P37" s="7">
        <f t="shared" si="5"/>
        <v>31647</v>
      </c>
      <c r="Q37" s="7">
        <f t="shared" si="5"/>
        <v>6403</v>
      </c>
      <c r="R37" s="7">
        <f t="shared" si="5"/>
        <v>8454</v>
      </c>
      <c r="S37" s="7">
        <f t="shared" si="5"/>
        <v>9556</v>
      </c>
      <c r="T37" s="7">
        <f t="shared" si="5"/>
        <v>1741</v>
      </c>
      <c r="U37" s="7">
        <f t="shared" si="5"/>
        <v>0</v>
      </c>
    </row>
    <row r="38" spans="1:21" ht="39" customHeight="1">
      <c r="A38" s="167"/>
      <c r="B38" s="170"/>
      <c r="C38" s="170"/>
      <c r="D38" s="181"/>
      <c r="E38" s="5"/>
      <c r="F38" s="6" t="s">
        <v>5</v>
      </c>
      <c r="G38" s="7">
        <v>96465</v>
      </c>
      <c r="H38" s="7"/>
      <c r="I38" s="7">
        <f>J38+K38+L38+M38+N38+O38+P38+Q38+R38+S38+T38+U38</f>
        <v>96464.9</v>
      </c>
      <c r="J38" s="9">
        <v>0</v>
      </c>
      <c r="K38" s="10">
        <v>16581.900000000001</v>
      </c>
      <c r="L38" s="10">
        <v>8562</v>
      </c>
      <c r="M38" s="10">
        <v>8290.7999999999993</v>
      </c>
      <c r="N38" s="10">
        <v>24973.1</v>
      </c>
      <c r="O38" s="10">
        <v>8290.7999999999993</v>
      </c>
      <c r="P38" s="10">
        <f>30839-3384</f>
        <v>27455</v>
      </c>
      <c r="Q38" s="10">
        <v>2211</v>
      </c>
      <c r="R38" s="10">
        <v>100.29999999999927</v>
      </c>
      <c r="S38" s="10">
        <v>0</v>
      </c>
      <c r="T38" s="10">
        <v>0</v>
      </c>
      <c r="U38" s="10">
        <v>0</v>
      </c>
    </row>
    <row r="39" spans="1:21" ht="39" hidden="1" customHeight="1">
      <c r="A39" s="167"/>
      <c r="B39" s="170"/>
      <c r="C39" s="170"/>
      <c r="D39" s="181"/>
      <c r="E39" s="5"/>
      <c r="F39" s="6" t="s">
        <v>27</v>
      </c>
      <c r="G39" s="7">
        <v>32591</v>
      </c>
      <c r="H39" s="7"/>
      <c r="I39" s="7">
        <f>J39+K39+L39+M39+N39+O39+P39+Q39+R39+S39+T39+U39</f>
        <v>32590.800000000003</v>
      </c>
      <c r="J39" s="11">
        <v>0</v>
      </c>
      <c r="K39" s="12">
        <v>7688</v>
      </c>
      <c r="L39" s="12">
        <v>3380</v>
      </c>
      <c r="M39" s="12">
        <v>3256</v>
      </c>
      <c r="N39" s="12">
        <v>4072.8999999999996</v>
      </c>
      <c r="O39" s="12">
        <v>5072.2000000000007</v>
      </c>
      <c r="P39" s="12">
        <v>228</v>
      </c>
      <c r="Q39" s="12">
        <v>228</v>
      </c>
      <c r="R39" s="12">
        <v>3731.7000000000007</v>
      </c>
      <c r="S39" s="12">
        <f>2445-1622+4111</f>
        <v>4934</v>
      </c>
      <c r="T39" s="12"/>
      <c r="U39" s="14"/>
    </row>
    <row r="40" spans="1:21" ht="39" hidden="1" customHeight="1">
      <c r="A40" s="167"/>
      <c r="B40" s="170"/>
      <c r="C40" s="170"/>
      <c r="D40" s="181"/>
      <c r="E40" s="5"/>
      <c r="F40" s="6" t="s">
        <v>3</v>
      </c>
      <c r="G40" s="7"/>
      <c r="H40" s="7"/>
      <c r="I40" s="7">
        <f>J40+K40+L40+M40+N40+O40+P40+Q40+R40+S40+T40+U40</f>
        <v>0</v>
      </c>
      <c r="J40" s="9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39" hidden="1" customHeight="1">
      <c r="A41" s="167"/>
      <c r="B41" s="170"/>
      <c r="C41" s="170"/>
      <c r="D41" s="181"/>
      <c r="E41" s="5"/>
      <c r="F41" s="6">
        <v>324</v>
      </c>
      <c r="G41" s="7">
        <v>40753</v>
      </c>
      <c r="H41" s="7"/>
      <c r="I41" s="7">
        <f>J41+K41+L41+M41+N41+O41+P41+Q41+R41+S41+T41+U41</f>
        <v>40753.199999999997</v>
      </c>
      <c r="J41" s="20">
        <f>3801-3801</f>
        <v>0</v>
      </c>
      <c r="K41" s="21">
        <f>3801+3801</f>
        <v>7602</v>
      </c>
      <c r="L41" s="21">
        <v>3801</v>
      </c>
      <c r="M41" s="21">
        <f>3401+234.2</f>
        <v>3635.2</v>
      </c>
      <c r="N41" s="21">
        <v>3401</v>
      </c>
      <c r="O41" s="21">
        <v>3401</v>
      </c>
      <c r="P41" s="21">
        <v>3964</v>
      </c>
      <c r="Q41" s="21">
        <v>3964</v>
      </c>
      <c r="R41" s="21">
        <v>4622</v>
      </c>
      <c r="S41" s="21">
        <v>4622</v>
      </c>
      <c r="T41" s="21">
        <f>4346-2605</f>
        <v>1741</v>
      </c>
      <c r="U41" s="21">
        <f>4322-4051-271</f>
        <v>0</v>
      </c>
    </row>
    <row r="42" spans="1:21" ht="39" customHeight="1">
      <c r="A42" s="167"/>
      <c r="B42" s="170"/>
      <c r="C42" s="170"/>
      <c r="D42" s="181"/>
      <c r="E42" s="5">
        <f>E37+1</f>
        <v>7</v>
      </c>
      <c r="F42" s="6" t="s">
        <v>37</v>
      </c>
      <c r="G42" s="7">
        <f>G43+G44+G45+G46</f>
        <v>70408</v>
      </c>
      <c r="H42" s="7">
        <v>149075.79999999999</v>
      </c>
      <c r="I42" s="7">
        <f t="shared" ref="I42:U42" si="6">I43+I44+I45+I46</f>
        <v>65493</v>
      </c>
      <c r="J42" s="8">
        <f t="shared" si="6"/>
        <v>0</v>
      </c>
      <c r="K42" s="7">
        <f t="shared" si="6"/>
        <v>19195</v>
      </c>
      <c r="L42" s="7">
        <f t="shared" si="6"/>
        <v>10228</v>
      </c>
      <c r="M42" s="7">
        <f t="shared" si="6"/>
        <v>9692</v>
      </c>
      <c r="N42" s="7">
        <f t="shared" si="6"/>
        <v>12671</v>
      </c>
      <c r="O42" s="7">
        <f t="shared" si="6"/>
        <v>6825</v>
      </c>
      <c r="P42" s="7">
        <f t="shared" si="6"/>
        <v>3882</v>
      </c>
      <c r="Q42" s="7">
        <f t="shared" si="6"/>
        <v>0</v>
      </c>
      <c r="R42" s="7">
        <f t="shared" si="6"/>
        <v>1500</v>
      </c>
      <c r="S42" s="7">
        <f t="shared" si="6"/>
        <v>1500</v>
      </c>
      <c r="T42" s="7">
        <f t="shared" si="6"/>
        <v>0</v>
      </c>
      <c r="U42" s="7">
        <f t="shared" si="6"/>
        <v>0</v>
      </c>
    </row>
    <row r="43" spans="1:21" ht="39" customHeight="1">
      <c r="A43" s="167"/>
      <c r="B43" s="170"/>
      <c r="C43" s="170"/>
      <c r="D43" s="181"/>
      <c r="E43" s="5"/>
      <c r="F43" s="6" t="s">
        <v>5</v>
      </c>
      <c r="G43" s="7">
        <v>46294</v>
      </c>
      <c r="H43" s="7"/>
      <c r="I43" s="7">
        <f>J43+K43+L43+M43+N43+O43+P43+Q43+R43+S43+T43+U43</f>
        <v>46294</v>
      </c>
      <c r="J43" s="9">
        <v>0</v>
      </c>
      <c r="K43" s="10">
        <v>14921</v>
      </c>
      <c r="L43" s="10">
        <v>6928</v>
      </c>
      <c r="M43" s="10">
        <v>7892</v>
      </c>
      <c r="N43" s="10">
        <v>9371</v>
      </c>
      <c r="O43" s="10">
        <f>13117-9817</f>
        <v>3300</v>
      </c>
      <c r="P43" s="10">
        <v>3882</v>
      </c>
      <c r="Q43" s="10"/>
      <c r="R43" s="10"/>
      <c r="S43" s="10"/>
      <c r="T43" s="10"/>
      <c r="U43" s="10"/>
    </row>
    <row r="44" spans="1:21" ht="39" hidden="1" customHeight="1">
      <c r="A44" s="167"/>
      <c r="B44" s="170"/>
      <c r="C44" s="170"/>
      <c r="D44" s="181"/>
      <c r="E44" s="5"/>
      <c r="F44" s="6" t="s">
        <v>27</v>
      </c>
      <c r="G44" s="7">
        <v>13460</v>
      </c>
      <c r="H44" s="7"/>
      <c r="I44" s="7">
        <f>J44+K44+L44+M44+N44+O44+P44+Q44+R44+S44+T44+U44</f>
        <v>8545</v>
      </c>
      <c r="J44" s="22">
        <v>0</v>
      </c>
      <c r="K44" s="23">
        <v>674</v>
      </c>
      <c r="L44" s="23">
        <v>1500</v>
      </c>
      <c r="M44" s="23">
        <v>0</v>
      </c>
      <c r="N44" s="23">
        <v>1500</v>
      </c>
      <c r="O44" s="23">
        <v>1871</v>
      </c>
      <c r="P44" s="23">
        <v>0</v>
      </c>
      <c r="Q44" s="23">
        <v>0</v>
      </c>
      <c r="R44" s="23">
        <v>1500</v>
      </c>
      <c r="S44" s="23">
        <v>1500</v>
      </c>
      <c r="T44" s="23">
        <v>0</v>
      </c>
      <c r="U44" s="23">
        <v>0</v>
      </c>
    </row>
    <row r="45" spans="1:21" ht="39" hidden="1" customHeight="1">
      <c r="A45" s="167"/>
      <c r="B45" s="170"/>
      <c r="C45" s="170"/>
      <c r="D45" s="181"/>
      <c r="E45" s="5"/>
      <c r="F45" s="6" t="s">
        <v>3</v>
      </c>
      <c r="G45" s="7"/>
      <c r="H45" s="7"/>
      <c r="I45" s="7">
        <f>J45+K45+L45+M45+N45+O45+P45+Q45+R45+S45+T45+U45</f>
        <v>0</v>
      </c>
      <c r="J45" s="9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39" hidden="1" customHeight="1">
      <c r="A46" s="167"/>
      <c r="B46" s="170"/>
      <c r="C46" s="170"/>
      <c r="D46" s="181"/>
      <c r="E46" s="5"/>
      <c r="F46" s="6">
        <v>324</v>
      </c>
      <c r="G46" s="7">
        <v>10654</v>
      </c>
      <c r="H46" s="7"/>
      <c r="I46" s="7">
        <f>J46+K46+L46+M46+N46+O46+P46+Q46+R46+S46+T46+U46</f>
        <v>10654</v>
      </c>
      <c r="J46" s="24">
        <f>1800-1800</f>
        <v>0</v>
      </c>
      <c r="K46" s="25">
        <f>1800+1800</f>
        <v>3600</v>
      </c>
      <c r="L46" s="25">
        <v>1800</v>
      </c>
      <c r="M46" s="25">
        <v>1800</v>
      </c>
      <c r="N46" s="25">
        <v>1800</v>
      </c>
      <c r="O46" s="25">
        <f>1800-146</f>
        <v>1654</v>
      </c>
      <c r="P46" s="25"/>
      <c r="Q46" s="25"/>
      <c r="R46" s="25"/>
      <c r="S46" s="25"/>
      <c r="T46" s="25"/>
      <c r="U46" s="25"/>
    </row>
    <row r="47" spans="1:21" ht="39" customHeight="1">
      <c r="A47" s="167"/>
      <c r="B47" s="170"/>
      <c r="C47" s="170"/>
      <c r="D47" s="181"/>
      <c r="E47" s="5">
        <f>E42+1</f>
        <v>8</v>
      </c>
      <c r="F47" s="6" t="s">
        <v>36</v>
      </c>
      <c r="G47" s="7">
        <f>G48+G49+G50+G51</f>
        <v>112347</v>
      </c>
      <c r="H47" s="7">
        <v>128397</v>
      </c>
      <c r="I47" s="7">
        <f t="shared" ref="I47:U47" si="7">I48+I49+I50+I51</f>
        <v>109285.5</v>
      </c>
      <c r="J47" s="8">
        <f t="shared" si="7"/>
        <v>0</v>
      </c>
      <c r="K47" s="7">
        <f t="shared" si="7"/>
        <v>24868.1</v>
      </c>
      <c r="L47" s="7">
        <f t="shared" si="7"/>
        <v>14217</v>
      </c>
      <c r="M47" s="7">
        <f t="shared" si="7"/>
        <v>14084.1</v>
      </c>
      <c r="N47" s="7">
        <f t="shared" si="7"/>
        <v>14084</v>
      </c>
      <c r="O47" s="7">
        <f t="shared" si="7"/>
        <v>11845.1</v>
      </c>
      <c r="P47" s="7">
        <f t="shared" si="7"/>
        <v>21004</v>
      </c>
      <c r="Q47" s="7">
        <f t="shared" si="7"/>
        <v>5246.2</v>
      </c>
      <c r="R47" s="7">
        <f t="shared" si="7"/>
        <v>3492</v>
      </c>
      <c r="S47" s="7">
        <f t="shared" si="7"/>
        <v>148</v>
      </c>
      <c r="T47" s="7">
        <f t="shared" si="7"/>
        <v>148</v>
      </c>
      <c r="U47" s="7">
        <f t="shared" si="7"/>
        <v>149</v>
      </c>
    </row>
    <row r="48" spans="1:21" ht="39" customHeight="1">
      <c r="A48" s="167"/>
      <c r="B48" s="170"/>
      <c r="C48" s="170"/>
      <c r="D48" s="181"/>
      <c r="E48" s="5"/>
      <c r="F48" s="6" t="s">
        <v>5</v>
      </c>
      <c r="G48" s="7">
        <v>69623</v>
      </c>
      <c r="H48" s="7"/>
      <c r="I48" s="7">
        <f>J48+K48+L48+M48+N48+O48+P48+Q48+R48+S48+T48+U48</f>
        <v>66725.5</v>
      </c>
      <c r="J48" s="9">
        <v>0</v>
      </c>
      <c r="K48" s="10">
        <f>16586.6-4181</f>
        <v>12405.599999999999</v>
      </c>
      <c r="L48" s="10">
        <v>6203</v>
      </c>
      <c r="M48" s="10">
        <v>6203.1</v>
      </c>
      <c r="N48" s="10">
        <v>6203</v>
      </c>
      <c r="O48" s="10">
        <v>6202.6</v>
      </c>
      <c r="P48" s="10">
        <v>21004</v>
      </c>
      <c r="Q48" s="10">
        <v>4567.2</v>
      </c>
      <c r="R48" s="10">
        <v>3492</v>
      </c>
      <c r="S48" s="10">
        <v>148</v>
      </c>
      <c r="T48" s="10">
        <v>148</v>
      </c>
      <c r="U48" s="10">
        <v>149</v>
      </c>
    </row>
    <row r="49" spans="1:21" ht="39" hidden="1" customHeight="1">
      <c r="A49" s="167"/>
      <c r="B49" s="170"/>
      <c r="C49" s="170"/>
      <c r="D49" s="181"/>
      <c r="E49" s="5"/>
      <c r="F49" s="6" t="s">
        <v>27</v>
      </c>
      <c r="G49" s="7">
        <v>20575</v>
      </c>
      <c r="H49" s="7"/>
      <c r="I49" s="7">
        <f>J49+K49+L49+M49+N49+O49+P49+Q49+R49+S49+T49+U49</f>
        <v>20411</v>
      </c>
      <c r="J49" s="11">
        <v>0</v>
      </c>
      <c r="K49" s="12">
        <v>4100.5</v>
      </c>
      <c r="L49" s="12">
        <v>3833</v>
      </c>
      <c r="M49" s="12">
        <v>3700</v>
      </c>
      <c r="N49" s="26">
        <v>3700</v>
      </c>
      <c r="O49" s="26">
        <v>4398.5</v>
      </c>
      <c r="P49" s="26">
        <v>0</v>
      </c>
      <c r="Q49" s="26">
        <v>679</v>
      </c>
      <c r="R49" s="26">
        <v>0</v>
      </c>
      <c r="S49" s="12">
        <v>0</v>
      </c>
      <c r="T49" s="12">
        <v>0</v>
      </c>
      <c r="U49" s="12">
        <v>0</v>
      </c>
    </row>
    <row r="50" spans="1:21" ht="39" hidden="1" customHeight="1">
      <c r="A50" s="167"/>
      <c r="B50" s="170"/>
      <c r="C50" s="170"/>
      <c r="D50" s="181"/>
      <c r="E50" s="5"/>
      <c r="F50" s="6" t="s">
        <v>3</v>
      </c>
      <c r="G50" s="7"/>
      <c r="H50" s="7"/>
      <c r="I50" s="7">
        <f>J50+K50+L50+M50+N50+O50+P50+Q50+R50+S50+T50+U50</f>
        <v>0</v>
      </c>
      <c r="J50" s="9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ht="39" hidden="1" customHeight="1">
      <c r="A51" s="167"/>
      <c r="B51" s="170"/>
      <c r="C51" s="170"/>
      <c r="D51" s="181"/>
      <c r="E51" s="5"/>
      <c r="F51" s="6">
        <v>324</v>
      </c>
      <c r="G51" s="7">
        <v>22149</v>
      </c>
      <c r="H51" s="7"/>
      <c r="I51" s="7">
        <f>J51+K51+L51+M51+N51+O51+P51+Q51+R51+S51+T51+U51</f>
        <v>22149</v>
      </c>
      <c r="J51" s="16">
        <f>4181-4181</f>
        <v>0</v>
      </c>
      <c r="K51" s="17">
        <f>4181+4181</f>
        <v>8362</v>
      </c>
      <c r="L51" s="17">
        <v>4181</v>
      </c>
      <c r="M51" s="17">
        <v>4181</v>
      </c>
      <c r="N51" s="17">
        <v>4181</v>
      </c>
      <c r="O51" s="17">
        <f>4181-2937</f>
        <v>1244</v>
      </c>
      <c r="P51" s="17"/>
      <c r="Q51" s="17"/>
      <c r="R51" s="17"/>
      <c r="S51" s="17"/>
      <c r="T51" s="17"/>
      <c r="U51" s="17"/>
    </row>
    <row r="52" spans="1:21" ht="39" customHeight="1">
      <c r="A52" s="167"/>
      <c r="B52" s="170"/>
      <c r="C52" s="170"/>
      <c r="D52" s="181"/>
      <c r="E52" s="5">
        <f>E47+1</f>
        <v>9</v>
      </c>
      <c r="F52" s="6" t="s">
        <v>35</v>
      </c>
      <c r="G52" s="7">
        <f>G53+G54+G55+G56</f>
        <v>43654</v>
      </c>
      <c r="H52" s="7">
        <v>173280</v>
      </c>
      <c r="I52" s="7">
        <f t="shared" ref="I52:U52" si="8">I53+I54+I55+I56</f>
        <v>40091</v>
      </c>
      <c r="J52" s="8">
        <f t="shared" si="8"/>
        <v>0</v>
      </c>
      <c r="K52" s="7">
        <f t="shared" si="8"/>
        <v>21285</v>
      </c>
      <c r="L52" s="7">
        <f t="shared" si="8"/>
        <v>7010</v>
      </c>
      <c r="M52" s="7">
        <f t="shared" si="8"/>
        <v>2000</v>
      </c>
      <c r="N52" s="7">
        <f t="shared" si="8"/>
        <v>1000</v>
      </c>
      <c r="O52" s="7">
        <f t="shared" si="8"/>
        <v>1200</v>
      </c>
      <c r="P52" s="7">
        <f t="shared" si="8"/>
        <v>783</v>
      </c>
      <c r="Q52" s="7">
        <f t="shared" si="8"/>
        <v>1000</v>
      </c>
      <c r="R52" s="7">
        <f t="shared" si="8"/>
        <v>2000</v>
      </c>
      <c r="S52" s="7">
        <f t="shared" si="8"/>
        <v>2000</v>
      </c>
      <c r="T52" s="7">
        <f t="shared" si="8"/>
        <v>1000</v>
      </c>
      <c r="U52" s="7">
        <f t="shared" si="8"/>
        <v>813</v>
      </c>
    </row>
    <row r="53" spans="1:21" ht="39" customHeight="1">
      <c r="A53" s="167"/>
      <c r="B53" s="170"/>
      <c r="C53" s="170"/>
      <c r="D53" s="181"/>
      <c r="E53" s="5"/>
      <c r="F53" s="6" t="s">
        <v>5</v>
      </c>
      <c r="G53" s="7">
        <v>21271</v>
      </c>
      <c r="H53" s="7"/>
      <c r="I53" s="7">
        <f>J53+K53+L53+M53+N53+O53+P53+Q53+R53+S53+T53+U53</f>
        <v>21271</v>
      </c>
      <c r="J53" s="9">
        <v>0</v>
      </c>
      <c r="K53" s="10">
        <v>16261</v>
      </c>
      <c r="L53" s="10">
        <f>8212-3202</f>
        <v>5010</v>
      </c>
      <c r="M53" s="10">
        <f>7986-7986</f>
        <v>0</v>
      </c>
      <c r="N53" s="10">
        <v>0</v>
      </c>
      <c r="O53" s="10">
        <v>0</v>
      </c>
      <c r="P53" s="10">
        <v>0</v>
      </c>
      <c r="Q53" s="10">
        <v>0</v>
      </c>
      <c r="R53" s="10">
        <f>60-60</f>
        <v>0</v>
      </c>
      <c r="S53" s="10">
        <v>0</v>
      </c>
      <c r="T53" s="10">
        <v>0</v>
      </c>
      <c r="U53" s="10">
        <v>0</v>
      </c>
    </row>
    <row r="54" spans="1:21" ht="39" hidden="1" customHeight="1">
      <c r="A54" s="167"/>
      <c r="B54" s="170"/>
      <c r="C54" s="170"/>
      <c r="D54" s="181"/>
      <c r="E54" s="5"/>
      <c r="F54" s="6" t="s">
        <v>27</v>
      </c>
      <c r="G54" s="7">
        <v>11147</v>
      </c>
      <c r="H54" s="7"/>
      <c r="I54" s="7">
        <f>J54+K54+L54+M54+N54+O54+P54+Q54+R54+S54+T54+U54</f>
        <v>7584</v>
      </c>
      <c r="J54" s="11">
        <v>0</v>
      </c>
      <c r="K54" s="12">
        <v>3024</v>
      </c>
      <c r="L54" s="12">
        <v>1000</v>
      </c>
      <c r="M54" s="12">
        <v>1000</v>
      </c>
      <c r="N54" s="12">
        <v>0</v>
      </c>
      <c r="O54" s="12">
        <v>200</v>
      </c>
      <c r="P54" s="12">
        <v>0</v>
      </c>
      <c r="Q54" s="12">
        <v>0</v>
      </c>
      <c r="R54" s="12">
        <v>1000</v>
      </c>
      <c r="S54" s="12">
        <v>1000</v>
      </c>
      <c r="T54" s="12">
        <v>0</v>
      </c>
      <c r="U54" s="12">
        <v>360</v>
      </c>
    </row>
    <row r="55" spans="1:21" ht="39" hidden="1" customHeight="1">
      <c r="A55" s="167"/>
      <c r="B55" s="170"/>
      <c r="C55" s="170"/>
      <c r="D55" s="181"/>
      <c r="E55" s="5"/>
      <c r="F55" s="6" t="s">
        <v>3</v>
      </c>
      <c r="G55" s="7"/>
      <c r="H55" s="7"/>
      <c r="I55" s="7">
        <f>J55+K55+L55+M55+N55+O55+P55+Q55+R55+S55+T55+U55</f>
        <v>0</v>
      </c>
      <c r="J55" s="9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ht="39" hidden="1" customHeight="1">
      <c r="A56" s="167"/>
      <c r="B56" s="170"/>
      <c r="C56" s="170"/>
      <c r="D56" s="181"/>
      <c r="E56" s="5"/>
      <c r="F56" s="6">
        <v>324</v>
      </c>
      <c r="G56" s="7">
        <v>11236</v>
      </c>
      <c r="H56" s="7"/>
      <c r="I56" s="7">
        <f>J56+K56+L56+M56+N56+O56+P56+Q56+R56+S56+T56+U56</f>
        <v>11236</v>
      </c>
      <c r="J56" s="20">
        <f>1000-1000</f>
        <v>0</v>
      </c>
      <c r="K56" s="21">
        <f>1000+1000</f>
        <v>2000</v>
      </c>
      <c r="L56" s="21">
        <v>1000</v>
      </c>
      <c r="M56" s="21">
        <v>1000</v>
      </c>
      <c r="N56" s="21">
        <v>1000</v>
      </c>
      <c r="O56" s="21">
        <v>1000</v>
      </c>
      <c r="P56" s="21">
        <v>783</v>
      </c>
      <c r="Q56" s="21">
        <v>1000</v>
      </c>
      <c r="R56" s="21">
        <v>1000</v>
      </c>
      <c r="S56" s="21">
        <v>1000</v>
      </c>
      <c r="T56" s="21">
        <v>1000</v>
      </c>
      <c r="U56" s="21">
        <f>1000-547</f>
        <v>453</v>
      </c>
    </row>
    <row r="57" spans="1:21" ht="39" customHeight="1">
      <c r="A57" s="167"/>
      <c r="B57" s="170"/>
      <c r="C57" s="170"/>
      <c r="D57" s="181"/>
      <c r="E57" s="5">
        <f>E52+1</f>
        <v>10</v>
      </c>
      <c r="F57" s="6" t="s">
        <v>34</v>
      </c>
      <c r="G57" s="7">
        <f>G58+G59+G60+G61</f>
        <v>83842</v>
      </c>
      <c r="H57" s="7">
        <v>133324</v>
      </c>
      <c r="I57" s="7">
        <f t="shared" ref="I57:U57" si="9">I58+I59+I60+I61</f>
        <v>82908</v>
      </c>
      <c r="J57" s="8">
        <f t="shared" si="9"/>
        <v>6364</v>
      </c>
      <c r="K57" s="7">
        <f t="shared" si="9"/>
        <v>14784</v>
      </c>
      <c r="L57" s="7">
        <f t="shared" si="9"/>
        <v>7761</v>
      </c>
      <c r="M57" s="7">
        <f t="shared" si="9"/>
        <v>7676</v>
      </c>
      <c r="N57" s="7">
        <f t="shared" si="9"/>
        <v>9052</v>
      </c>
      <c r="O57" s="7">
        <f t="shared" si="9"/>
        <v>9051</v>
      </c>
      <c r="P57" s="7">
        <f t="shared" si="9"/>
        <v>9051</v>
      </c>
      <c r="Q57" s="7">
        <f t="shared" si="9"/>
        <v>7643</v>
      </c>
      <c r="R57" s="7">
        <f t="shared" si="9"/>
        <v>2685</v>
      </c>
      <c r="S57" s="7">
        <f t="shared" si="9"/>
        <v>2685</v>
      </c>
      <c r="T57" s="7">
        <f t="shared" si="9"/>
        <v>3613</v>
      </c>
      <c r="U57" s="7">
        <f t="shared" si="9"/>
        <v>2543</v>
      </c>
    </row>
    <row r="58" spans="1:21" ht="39" customHeight="1">
      <c r="A58" s="167"/>
      <c r="B58" s="170"/>
      <c r="C58" s="170"/>
      <c r="D58" s="181"/>
      <c r="E58" s="5"/>
      <c r="F58" s="6" t="s">
        <v>5</v>
      </c>
      <c r="G58" s="7">
        <v>49236</v>
      </c>
      <c r="H58" s="7"/>
      <c r="I58" s="7">
        <f>J58+K58+L58+M58+N58+O58+P58+Q58+R58+S58+T58+U58</f>
        <v>49236</v>
      </c>
      <c r="J58" s="9"/>
      <c r="K58" s="10">
        <v>12734</v>
      </c>
      <c r="L58" s="10">
        <v>5808</v>
      </c>
      <c r="M58" s="10">
        <v>5996</v>
      </c>
      <c r="N58" s="10">
        <v>6367</v>
      </c>
      <c r="O58" s="10">
        <v>5485</v>
      </c>
      <c r="P58" s="10">
        <v>7127</v>
      </c>
      <c r="Q58" s="10">
        <f>7128-1409</f>
        <v>5719</v>
      </c>
      <c r="R58" s="10"/>
      <c r="S58" s="10"/>
      <c r="T58" s="10"/>
      <c r="U58" s="10"/>
    </row>
    <row r="59" spans="1:21" ht="39" hidden="1" customHeight="1">
      <c r="A59" s="167"/>
      <c r="B59" s="170"/>
      <c r="C59" s="170"/>
      <c r="D59" s="181"/>
      <c r="E59" s="5"/>
      <c r="F59" s="6" t="s">
        <v>27</v>
      </c>
      <c r="G59" s="7">
        <v>14801</v>
      </c>
      <c r="H59" s="7"/>
      <c r="I59" s="7">
        <f>J59+K59+L59+M59+N59+O59+P59+Q59+R59+S59+T59+U59</f>
        <v>13867</v>
      </c>
      <c r="J59" s="11">
        <v>0</v>
      </c>
      <c r="K59" s="12">
        <v>2050</v>
      </c>
      <c r="L59" s="12">
        <v>1953</v>
      </c>
      <c r="M59" s="12">
        <v>1400</v>
      </c>
      <c r="N59" s="12">
        <v>1025</v>
      </c>
      <c r="O59" s="12">
        <v>1906</v>
      </c>
      <c r="P59" s="12">
        <v>264</v>
      </c>
      <c r="Q59" s="12">
        <v>264</v>
      </c>
      <c r="R59" s="12">
        <v>1025</v>
      </c>
      <c r="S59" s="12">
        <v>1025</v>
      </c>
      <c r="T59" s="12">
        <v>1953</v>
      </c>
      <c r="U59" s="14">
        <v>1002</v>
      </c>
    </row>
    <row r="60" spans="1:21" ht="39" hidden="1" customHeight="1">
      <c r="A60" s="167"/>
      <c r="B60" s="170"/>
      <c r="C60" s="170"/>
      <c r="D60" s="181"/>
      <c r="E60" s="5"/>
      <c r="F60" s="6" t="s">
        <v>3</v>
      </c>
      <c r="G60" s="7"/>
      <c r="H60" s="7"/>
      <c r="I60" s="7">
        <f>J60+K60+L60+M60+N60+O60+P60+Q60+R60+S60+T60+U60</f>
        <v>0</v>
      </c>
      <c r="J60" s="9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ht="39" hidden="1" customHeight="1">
      <c r="A61" s="167"/>
      <c r="B61" s="170"/>
      <c r="C61" s="170"/>
      <c r="D61" s="181"/>
      <c r="E61" s="5"/>
      <c r="F61" s="6">
        <v>324</v>
      </c>
      <c r="G61" s="7">
        <v>19805</v>
      </c>
      <c r="H61" s="7"/>
      <c r="I61" s="7">
        <f>J61+K61+L61+M61+N61+O61+P61+Q61+R61+S61+T61+U61</f>
        <v>19805</v>
      </c>
      <c r="J61" s="16">
        <f>1664+4700</f>
        <v>6364</v>
      </c>
      <c r="K61" s="17">
        <f>1660-1660</f>
        <v>0</v>
      </c>
      <c r="L61" s="17">
        <f>1660-1660</f>
        <v>0</v>
      </c>
      <c r="M61" s="17">
        <f>1660-1380</f>
        <v>280</v>
      </c>
      <c r="N61" s="17">
        <v>1660</v>
      </c>
      <c r="O61" s="17">
        <v>1660</v>
      </c>
      <c r="P61" s="17">
        <v>1660</v>
      </c>
      <c r="Q61" s="17">
        <v>1660</v>
      </c>
      <c r="R61" s="17">
        <v>1660</v>
      </c>
      <c r="S61" s="17">
        <v>1660</v>
      </c>
      <c r="T61" s="17">
        <v>1660</v>
      </c>
      <c r="U61" s="17">
        <f>1660-119</f>
        <v>1541</v>
      </c>
    </row>
    <row r="62" spans="1:21" ht="39" customHeight="1">
      <c r="A62" s="167"/>
      <c r="B62" s="170"/>
      <c r="C62" s="170"/>
      <c r="D62" s="181"/>
      <c r="E62" s="5">
        <f>E57+1</f>
        <v>11</v>
      </c>
      <c r="F62" s="6" t="s">
        <v>33</v>
      </c>
      <c r="G62" s="7">
        <f>G63+G64+G65+G66</f>
        <v>74274</v>
      </c>
      <c r="H62" s="7">
        <v>135483</v>
      </c>
      <c r="I62" s="7">
        <f t="shared" ref="I62:U62" si="10">I63+I64+I65+I66</f>
        <v>74274</v>
      </c>
      <c r="J62" s="8">
        <f t="shared" si="10"/>
        <v>7070</v>
      </c>
      <c r="K62" s="7">
        <f t="shared" si="10"/>
        <v>20952</v>
      </c>
      <c r="L62" s="7">
        <f t="shared" si="10"/>
        <v>9983</v>
      </c>
      <c r="M62" s="7">
        <f t="shared" si="10"/>
        <v>7817</v>
      </c>
      <c r="N62" s="7">
        <f t="shared" si="10"/>
        <v>8651</v>
      </c>
      <c r="O62" s="7">
        <f t="shared" si="10"/>
        <v>9694</v>
      </c>
      <c r="P62" s="7">
        <f t="shared" si="10"/>
        <v>2599</v>
      </c>
      <c r="Q62" s="7">
        <f t="shared" si="10"/>
        <v>4714</v>
      </c>
      <c r="R62" s="7">
        <f t="shared" si="10"/>
        <v>754</v>
      </c>
      <c r="S62" s="7">
        <f t="shared" si="10"/>
        <v>2040</v>
      </c>
      <c r="T62" s="7">
        <f t="shared" si="10"/>
        <v>0</v>
      </c>
      <c r="U62" s="7">
        <f t="shared" si="10"/>
        <v>0</v>
      </c>
    </row>
    <row r="63" spans="1:21" ht="39" customHeight="1">
      <c r="A63" s="167"/>
      <c r="B63" s="170"/>
      <c r="C63" s="170"/>
      <c r="D63" s="181"/>
      <c r="E63" s="5"/>
      <c r="F63" s="6" t="s">
        <v>5</v>
      </c>
      <c r="G63" s="7">
        <v>43382</v>
      </c>
      <c r="H63" s="7"/>
      <c r="I63" s="7">
        <f>J63+K63+L63+M63+N63+O63+P63+Q63+R63+S63+T63+U63</f>
        <v>43381.700000000004</v>
      </c>
      <c r="J63" s="9">
        <v>0</v>
      </c>
      <c r="K63" s="10">
        <v>15392.4</v>
      </c>
      <c r="L63" s="10">
        <v>7157.4</v>
      </c>
      <c r="M63" s="10">
        <v>6607</v>
      </c>
      <c r="N63" s="10">
        <v>6581</v>
      </c>
      <c r="O63" s="10">
        <f>15171-7547</f>
        <v>7624</v>
      </c>
      <c r="P63" s="10">
        <f>20</f>
        <v>20</v>
      </c>
      <c r="Q63" s="10">
        <v>-0.1000000000003638</v>
      </c>
      <c r="R63" s="10">
        <v>0</v>
      </c>
      <c r="S63" s="10">
        <v>0</v>
      </c>
      <c r="T63" s="10">
        <v>0</v>
      </c>
      <c r="U63" s="10">
        <v>0</v>
      </c>
    </row>
    <row r="64" spans="1:21" ht="39" hidden="1" customHeight="1">
      <c r="A64" s="167"/>
      <c r="B64" s="170"/>
      <c r="C64" s="170"/>
      <c r="D64" s="181"/>
      <c r="E64" s="5"/>
      <c r="F64" s="6" t="s">
        <v>27</v>
      </c>
      <c r="G64" s="7">
        <v>13578</v>
      </c>
      <c r="H64" s="7"/>
      <c r="I64" s="7">
        <f>J64+K64+L64+M64+N64+O64+P64+Q64+R64+S64+T64+U64</f>
        <v>13578.300000000001</v>
      </c>
      <c r="J64" s="11">
        <v>0</v>
      </c>
      <c r="K64" s="12">
        <v>5559.6</v>
      </c>
      <c r="L64" s="12">
        <v>2825.6000000000004</v>
      </c>
      <c r="M64" s="12">
        <v>0</v>
      </c>
      <c r="N64" s="12">
        <v>0</v>
      </c>
      <c r="O64" s="12">
        <v>0</v>
      </c>
      <c r="P64" s="12">
        <v>509</v>
      </c>
      <c r="Q64" s="12">
        <f>4192.1-1548</f>
        <v>2644.1000000000004</v>
      </c>
      <c r="R64" s="12">
        <v>0</v>
      </c>
      <c r="S64" s="12">
        <f>4575-4575+2040</f>
        <v>2040</v>
      </c>
      <c r="T64" s="12">
        <v>0</v>
      </c>
      <c r="U64" s="12">
        <v>0</v>
      </c>
    </row>
    <row r="65" spans="1:21" ht="39" hidden="1" customHeight="1">
      <c r="A65" s="167"/>
      <c r="B65" s="170"/>
      <c r="C65" s="170"/>
      <c r="D65" s="181"/>
      <c r="E65" s="5"/>
      <c r="F65" s="6" t="s">
        <v>3</v>
      </c>
      <c r="G65" s="7"/>
      <c r="H65" s="7"/>
      <c r="I65" s="7">
        <f>J65+K65+L65+M65+N65+O65+P65+Q65+R65+S65+T65+U65</f>
        <v>0</v>
      </c>
      <c r="J65" s="9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ht="39" hidden="1" customHeight="1">
      <c r="A66" s="167"/>
      <c r="B66" s="170"/>
      <c r="C66" s="170"/>
      <c r="D66" s="181"/>
      <c r="E66" s="5"/>
      <c r="F66" s="6">
        <v>324</v>
      </c>
      <c r="G66" s="7">
        <v>17314</v>
      </c>
      <c r="H66" s="7"/>
      <c r="I66" s="7">
        <f>J66+K66+L66+M66+N66+O66+P66+Q66+R66+S66+T66+U66</f>
        <v>17314</v>
      </c>
      <c r="J66" s="20">
        <f>2070+5000</f>
        <v>7070</v>
      </c>
      <c r="K66" s="21">
        <f>2070-2070</f>
        <v>0</v>
      </c>
      <c r="L66" s="21">
        <f>2070-2070</f>
        <v>0</v>
      </c>
      <c r="M66" s="21">
        <f>2070-860</f>
        <v>1210</v>
      </c>
      <c r="N66" s="21">
        <v>2070</v>
      </c>
      <c r="O66" s="21">
        <v>2070</v>
      </c>
      <c r="P66" s="21">
        <v>2070</v>
      </c>
      <c r="Q66" s="21">
        <v>2070</v>
      </c>
      <c r="R66" s="21">
        <f>2070-1316</f>
        <v>754</v>
      </c>
      <c r="S66" s="21"/>
      <c r="T66" s="21"/>
      <c r="U66" s="21"/>
    </row>
    <row r="67" spans="1:21" ht="39" customHeight="1">
      <c r="A67" s="167"/>
      <c r="B67" s="170"/>
      <c r="C67" s="170"/>
      <c r="D67" s="181"/>
      <c r="E67" s="5">
        <f>E62+1</f>
        <v>12</v>
      </c>
      <c r="F67" s="6" t="s">
        <v>32</v>
      </c>
      <c r="G67" s="7">
        <f>G68+G69+G70+G71</f>
        <v>247467</v>
      </c>
      <c r="H67" s="7">
        <v>345758</v>
      </c>
      <c r="I67" s="7">
        <f t="shared" ref="I67:U67" si="11">I68+I69+I70+I71</f>
        <v>227591.9</v>
      </c>
      <c r="J67" s="8">
        <f t="shared" si="11"/>
        <v>0</v>
      </c>
      <c r="K67" s="7">
        <f t="shared" si="11"/>
        <v>44310</v>
      </c>
      <c r="L67" s="7">
        <f t="shared" si="11"/>
        <v>21148</v>
      </c>
      <c r="M67" s="7">
        <f t="shared" si="11"/>
        <v>21276</v>
      </c>
      <c r="N67" s="7">
        <f t="shared" si="11"/>
        <v>21148</v>
      </c>
      <c r="O67" s="7">
        <f t="shared" si="11"/>
        <v>25248.9</v>
      </c>
      <c r="P67" s="7">
        <f t="shared" si="11"/>
        <v>43241</v>
      </c>
      <c r="Q67" s="7">
        <f t="shared" si="11"/>
        <v>4949</v>
      </c>
      <c r="R67" s="7">
        <f t="shared" si="11"/>
        <v>16424</v>
      </c>
      <c r="S67" s="7">
        <f t="shared" si="11"/>
        <v>16421</v>
      </c>
      <c r="T67" s="7">
        <f t="shared" si="11"/>
        <v>9979</v>
      </c>
      <c r="U67" s="7">
        <f t="shared" si="11"/>
        <v>3447</v>
      </c>
    </row>
    <row r="68" spans="1:21" ht="39" customHeight="1">
      <c r="A68" s="167"/>
      <c r="B68" s="170"/>
      <c r="C68" s="170"/>
      <c r="D68" s="181"/>
      <c r="E68" s="5"/>
      <c r="F68" s="6" t="s">
        <v>5</v>
      </c>
      <c r="G68" s="7">
        <v>152312</v>
      </c>
      <c r="H68" s="7"/>
      <c r="I68" s="7">
        <f>J68+K68+L68+M68+N68+O68+P68+Q68+R68+S68+T68+U68</f>
        <v>133766.9</v>
      </c>
      <c r="J68" s="9"/>
      <c r="K68" s="10">
        <v>23166</v>
      </c>
      <c r="L68" s="10">
        <v>11583</v>
      </c>
      <c r="M68" s="10">
        <v>11711</v>
      </c>
      <c r="N68" s="10">
        <v>11583</v>
      </c>
      <c r="O68" s="10">
        <v>14082.9</v>
      </c>
      <c r="P68" s="10">
        <v>30741</v>
      </c>
      <c r="Q68" s="10">
        <v>4949</v>
      </c>
      <c r="R68" s="10">
        <v>10024</v>
      </c>
      <c r="S68" s="10">
        <v>10024</v>
      </c>
      <c r="T68" s="10">
        <v>5903</v>
      </c>
      <c r="U68" s="10">
        <v>0</v>
      </c>
    </row>
    <row r="69" spans="1:21" ht="39" hidden="1" customHeight="1">
      <c r="A69" s="167"/>
      <c r="B69" s="170"/>
      <c r="C69" s="170"/>
      <c r="D69" s="181"/>
      <c r="E69" s="5"/>
      <c r="F69" s="6" t="s">
        <v>27</v>
      </c>
      <c r="G69" s="7">
        <v>39523</v>
      </c>
      <c r="H69" s="7"/>
      <c r="I69" s="7">
        <f>J69+K69+L69+M69+N69+O69+P69+Q69+R69+S69+T69+U69</f>
        <v>38193</v>
      </c>
      <c r="J69" s="9">
        <v>0</v>
      </c>
      <c r="K69" s="10">
        <v>8944</v>
      </c>
      <c r="L69" s="10">
        <v>3465</v>
      </c>
      <c r="M69" s="10">
        <v>3465</v>
      </c>
      <c r="N69" s="10">
        <v>3465</v>
      </c>
      <c r="O69" s="10">
        <v>5066</v>
      </c>
      <c r="P69" s="10">
        <v>0</v>
      </c>
      <c r="Q69" s="10">
        <v>0</v>
      </c>
      <c r="R69" s="10">
        <v>3447</v>
      </c>
      <c r="S69" s="10">
        <v>3447</v>
      </c>
      <c r="T69" s="10">
        <v>3447</v>
      </c>
      <c r="U69" s="10">
        <v>3447</v>
      </c>
    </row>
    <row r="70" spans="1:21" ht="39" hidden="1" customHeight="1">
      <c r="A70" s="167"/>
      <c r="B70" s="170"/>
      <c r="C70" s="170"/>
      <c r="D70" s="181"/>
      <c r="E70" s="5"/>
      <c r="F70" s="6" t="s">
        <v>3</v>
      </c>
      <c r="G70" s="7"/>
      <c r="H70" s="7"/>
      <c r="I70" s="7">
        <f>J70+K70+L70+M70+N70+O70+P70+Q70+R70+S70+T70+U70</f>
        <v>0</v>
      </c>
      <c r="J70" s="9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ht="39" hidden="1" customHeight="1">
      <c r="A71" s="167"/>
      <c r="B71" s="170"/>
      <c r="C71" s="170"/>
      <c r="D71" s="181"/>
      <c r="E71" s="5"/>
      <c r="F71" s="6">
        <v>324</v>
      </c>
      <c r="G71" s="7">
        <v>55632</v>
      </c>
      <c r="H71" s="7"/>
      <c r="I71" s="7">
        <f>J71+K71+L71+M71+N71+O71+P71+Q71+R71+S71+T71+U71</f>
        <v>55632</v>
      </c>
      <c r="J71" s="16">
        <f>6100-6100</f>
        <v>0</v>
      </c>
      <c r="K71" s="17">
        <f>6100+6100</f>
        <v>12200</v>
      </c>
      <c r="L71" s="17">
        <v>6100</v>
      </c>
      <c r="M71" s="17">
        <v>6100</v>
      </c>
      <c r="N71" s="17">
        <v>6100</v>
      </c>
      <c r="O71" s="17">
        <v>6100</v>
      </c>
      <c r="P71" s="17">
        <v>12500</v>
      </c>
      <c r="Q71" s="17"/>
      <c r="R71" s="17">
        <v>2953</v>
      </c>
      <c r="S71" s="17">
        <v>2950</v>
      </c>
      <c r="T71" s="17">
        <f>2950-2321</f>
        <v>629</v>
      </c>
      <c r="U71" s="17">
        <f>2950-2950</f>
        <v>0</v>
      </c>
    </row>
    <row r="72" spans="1:21" ht="39" customHeight="1">
      <c r="A72" s="167"/>
      <c r="B72" s="170"/>
      <c r="C72" s="170"/>
      <c r="D72" s="181"/>
      <c r="E72" s="5">
        <f>E67+1</f>
        <v>13</v>
      </c>
      <c r="F72" s="6" t="s">
        <v>31</v>
      </c>
      <c r="G72" s="7">
        <f>G73+G74+G75+G76</f>
        <v>193430</v>
      </c>
      <c r="H72" s="7">
        <v>284124</v>
      </c>
      <c r="I72" s="7">
        <f t="shared" ref="I72:U72" si="12">I73+I74+I75+I76</f>
        <v>192260</v>
      </c>
      <c r="J72" s="8">
        <f t="shared" si="12"/>
        <v>0</v>
      </c>
      <c r="K72" s="7">
        <f t="shared" si="12"/>
        <v>49952</v>
      </c>
      <c r="L72" s="7">
        <f t="shared" si="12"/>
        <v>23695</v>
      </c>
      <c r="M72" s="7">
        <f t="shared" si="12"/>
        <v>23760</v>
      </c>
      <c r="N72" s="7">
        <f t="shared" si="12"/>
        <v>23695</v>
      </c>
      <c r="O72" s="7">
        <f t="shared" si="12"/>
        <v>42834</v>
      </c>
      <c r="P72" s="7">
        <f t="shared" si="12"/>
        <v>4000</v>
      </c>
      <c r="Q72" s="7">
        <f t="shared" si="12"/>
        <v>5586</v>
      </c>
      <c r="R72" s="7">
        <f t="shared" si="12"/>
        <v>5590</v>
      </c>
      <c r="S72" s="7">
        <f t="shared" si="12"/>
        <v>5586</v>
      </c>
      <c r="T72" s="7">
        <f t="shared" si="12"/>
        <v>5586</v>
      </c>
      <c r="U72" s="7">
        <f t="shared" si="12"/>
        <v>1976</v>
      </c>
    </row>
    <row r="73" spans="1:21" ht="39" customHeight="1">
      <c r="A73" s="167"/>
      <c r="B73" s="170"/>
      <c r="C73" s="170"/>
      <c r="D73" s="181"/>
      <c r="E73" s="5"/>
      <c r="F73" s="6" t="s">
        <v>5</v>
      </c>
      <c r="G73" s="7">
        <v>128077</v>
      </c>
      <c r="H73" s="7"/>
      <c r="I73" s="7">
        <f>J73+K73+L73+M73+N73+O73+P73+Q73+R73+S73+T73+U73</f>
        <v>128077</v>
      </c>
      <c r="J73" s="9">
        <v>0</v>
      </c>
      <c r="K73" s="10">
        <v>36218</v>
      </c>
      <c r="L73" s="10">
        <v>18109</v>
      </c>
      <c r="M73" s="10">
        <v>18174</v>
      </c>
      <c r="N73" s="10">
        <v>18109</v>
      </c>
      <c r="O73" s="10">
        <f>42709-5242</f>
        <v>37467</v>
      </c>
      <c r="P73" s="10">
        <f>18109-18109</f>
        <v>0</v>
      </c>
      <c r="Q73" s="10">
        <f>9482-9482</f>
        <v>0</v>
      </c>
      <c r="R73" s="10">
        <f>18174-18174</f>
        <v>0</v>
      </c>
      <c r="S73" s="10">
        <f>18109-18109</f>
        <v>0</v>
      </c>
      <c r="T73" s="10">
        <f>18109-18109</f>
        <v>0</v>
      </c>
      <c r="U73" s="10">
        <f>18110-18110</f>
        <v>0</v>
      </c>
    </row>
    <row r="74" spans="1:21" ht="39" hidden="1" customHeight="1">
      <c r="A74" s="167"/>
      <c r="B74" s="170"/>
      <c r="C74" s="170"/>
      <c r="D74" s="181"/>
      <c r="E74" s="5"/>
      <c r="F74" s="6" t="s">
        <v>27</v>
      </c>
      <c r="G74" s="7">
        <v>20963</v>
      </c>
      <c r="H74" s="7"/>
      <c r="I74" s="7">
        <f>J74+K74+L74+M74+N74+O74+P74+Q74+R74+S74+T74+U74</f>
        <v>19793</v>
      </c>
      <c r="J74" s="11">
        <v>0</v>
      </c>
      <c r="K74" s="12">
        <v>5734</v>
      </c>
      <c r="L74" s="12">
        <v>1586</v>
      </c>
      <c r="M74" s="12">
        <v>1586</v>
      </c>
      <c r="N74" s="12">
        <v>1586</v>
      </c>
      <c r="O74" s="12">
        <v>1367</v>
      </c>
      <c r="P74" s="12">
        <v>0</v>
      </c>
      <c r="Q74" s="12">
        <v>1586</v>
      </c>
      <c r="R74" s="12">
        <v>1590</v>
      </c>
      <c r="S74" s="12">
        <v>1586</v>
      </c>
      <c r="T74" s="12">
        <v>1586</v>
      </c>
      <c r="U74" s="12">
        <v>1586</v>
      </c>
    </row>
    <row r="75" spans="1:21" ht="39" hidden="1" customHeight="1">
      <c r="A75" s="167"/>
      <c r="B75" s="170"/>
      <c r="C75" s="170"/>
      <c r="D75" s="181"/>
      <c r="E75" s="5"/>
      <c r="F75" s="6" t="s">
        <v>3</v>
      </c>
      <c r="G75" s="7"/>
      <c r="H75" s="7"/>
      <c r="I75" s="7">
        <f>J75+K75+L75+M75+N75+O75+P75+Q75+R75+S75+T75+U75</f>
        <v>0</v>
      </c>
      <c r="J75" s="9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ht="33" hidden="1" customHeight="1">
      <c r="A76" s="167"/>
      <c r="B76" s="170"/>
      <c r="C76" s="170"/>
      <c r="D76" s="181"/>
      <c r="E76" s="5"/>
      <c r="F76" s="6">
        <v>324</v>
      </c>
      <c r="G76" s="7">
        <v>44390</v>
      </c>
      <c r="H76" s="7"/>
      <c r="I76" s="7">
        <f>J76+K76+L76+M76+N76+O76+P76+Q76+R76+S76+T76+U76</f>
        <v>44390</v>
      </c>
      <c r="J76" s="27">
        <f>4000-4000</f>
        <v>0</v>
      </c>
      <c r="K76" s="28">
        <f>4000+4000</f>
        <v>8000</v>
      </c>
      <c r="L76" s="28">
        <v>4000</v>
      </c>
      <c r="M76" s="28">
        <v>4000</v>
      </c>
      <c r="N76" s="28">
        <v>4000</v>
      </c>
      <c r="O76" s="28">
        <v>4000</v>
      </c>
      <c r="P76" s="28">
        <v>4000</v>
      </c>
      <c r="Q76" s="28">
        <v>4000</v>
      </c>
      <c r="R76" s="28">
        <v>4000</v>
      </c>
      <c r="S76" s="28">
        <v>4000</v>
      </c>
      <c r="T76" s="28">
        <v>4000</v>
      </c>
      <c r="U76" s="28">
        <f>4000-3610</f>
        <v>390</v>
      </c>
    </row>
    <row r="77" spans="1:21" ht="23.25" customHeight="1">
      <c r="A77" s="167"/>
      <c r="B77" s="170"/>
      <c r="C77" s="170"/>
      <c r="D77" s="181"/>
      <c r="E77" s="5">
        <f>E72+1</f>
        <v>14</v>
      </c>
      <c r="F77" s="6" t="s">
        <v>30</v>
      </c>
      <c r="G77" s="7">
        <f>G78+G79+G80+G81</f>
        <v>376073</v>
      </c>
      <c r="H77" s="7">
        <v>428334</v>
      </c>
      <c r="I77" s="7">
        <f t="shared" ref="I77:U77" si="13">I78+I79+I80+I81</f>
        <v>377204</v>
      </c>
      <c r="J77" s="8">
        <f t="shared" si="13"/>
        <v>20377</v>
      </c>
      <c r="K77" s="7">
        <f t="shared" si="13"/>
        <v>55368</v>
      </c>
      <c r="L77" s="7">
        <f t="shared" si="13"/>
        <v>26511</v>
      </c>
      <c r="M77" s="7">
        <f t="shared" si="13"/>
        <v>29041</v>
      </c>
      <c r="N77" s="7">
        <f t="shared" si="13"/>
        <v>33454</v>
      </c>
      <c r="O77" s="7">
        <f t="shared" si="13"/>
        <v>37115</v>
      </c>
      <c r="P77" s="7">
        <f t="shared" si="13"/>
        <v>62924</v>
      </c>
      <c r="Q77" s="7">
        <f t="shared" si="13"/>
        <v>27242</v>
      </c>
      <c r="R77" s="7">
        <f t="shared" si="13"/>
        <v>29392</v>
      </c>
      <c r="S77" s="7">
        <f t="shared" si="13"/>
        <v>25765</v>
      </c>
      <c r="T77" s="7">
        <f t="shared" si="13"/>
        <v>19940</v>
      </c>
      <c r="U77" s="7">
        <f t="shared" si="13"/>
        <v>10075</v>
      </c>
    </row>
    <row r="78" spans="1:21" ht="23.25" customHeight="1">
      <c r="A78" s="167"/>
      <c r="B78" s="170"/>
      <c r="C78" s="170"/>
      <c r="D78" s="181"/>
      <c r="E78" s="5"/>
      <c r="F78" s="6" t="s">
        <v>5</v>
      </c>
      <c r="G78" s="7">
        <v>300621</v>
      </c>
      <c r="H78" s="7"/>
      <c r="I78" s="7">
        <f>J78+K78+L78+M78+N78+O78+P78+Q78+R78+S78+T78+U78</f>
        <v>300621</v>
      </c>
      <c r="J78" s="9">
        <v>0</v>
      </c>
      <c r="K78" s="10">
        <v>50336</v>
      </c>
      <c r="L78" s="10">
        <v>25165</v>
      </c>
      <c r="M78" s="10">
        <v>25520</v>
      </c>
      <c r="N78" s="10">
        <v>24785</v>
      </c>
      <c r="O78" s="10">
        <v>26362</v>
      </c>
      <c r="P78" s="10">
        <v>62733</v>
      </c>
      <c r="Q78" s="10">
        <v>27051</v>
      </c>
      <c r="R78" s="10">
        <v>22832</v>
      </c>
      <c r="S78" s="10">
        <f>25668-6463</f>
        <v>19205</v>
      </c>
      <c r="T78" s="10">
        <v>13380</v>
      </c>
      <c r="U78" s="10">
        <v>3252</v>
      </c>
    </row>
    <row r="79" spans="1:21" ht="23.25" hidden="1" customHeight="1">
      <c r="A79" s="167"/>
      <c r="B79" s="170"/>
      <c r="C79" s="170"/>
      <c r="D79" s="181"/>
      <c r="E79" s="5"/>
      <c r="F79" s="6" t="s">
        <v>27</v>
      </c>
      <c r="G79" s="7">
        <v>17423</v>
      </c>
      <c r="H79" s="7"/>
      <c r="I79" s="7">
        <f>J79+K79+L79+M79+N79+O79+P79+Q79+R79+S79+T79+U79</f>
        <v>18554</v>
      </c>
      <c r="J79" s="11">
        <v>0</v>
      </c>
      <c r="K79" s="12">
        <v>5032</v>
      </c>
      <c r="L79" s="12">
        <v>1346</v>
      </c>
      <c r="M79" s="12">
        <v>1346</v>
      </c>
      <c r="N79" s="12">
        <v>3455</v>
      </c>
      <c r="O79" s="12">
        <v>1346</v>
      </c>
      <c r="P79" s="12">
        <v>191</v>
      </c>
      <c r="Q79" s="12">
        <v>191</v>
      </c>
      <c r="R79" s="12">
        <v>1346</v>
      </c>
      <c r="S79" s="12">
        <v>1346</v>
      </c>
      <c r="T79" s="12">
        <v>1346</v>
      </c>
      <c r="U79" s="12">
        <v>1609</v>
      </c>
    </row>
    <row r="80" spans="1:21" ht="23.25" hidden="1" customHeight="1">
      <c r="A80" s="167"/>
      <c r="B80" s="170"/>
      <c r="C80" s="170"/>
      <c r="D80" s="181"/>
      <c r="E80" s="5"/>
      <c r="F80" s="6" t="s">
        <v>3</v>
      </c>
      <c r="G80" s="7"/>
      <c r="H80" s="7"/>
      <c r="I80" s="7">
        <f>J80+K80+L80+M80+N80+O80+P80+Q80+R80+S80+T80+U80</f>
        <v>0</v>
      </c>
      <c r="J80" s="9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ht="23.25" hidden="1" customHeight="1">
      <c r="A81" s="167"/>
      <c r="B81" s="170"/>
      <c r="C81" s="170"/>
      <c r="D81" s="181"/>
      <c r="E81" s="5"/>
      <c r="F81" s="6">
        <v>324</v>
      </c>
      <c r="G81" s="7">
        <v>58029</v>
      </c>
      <c r="H81" s="7"/>
      <c r="I81" s="7">
        <f>J81+K81+L81+M81+N81+O81+P81+Q81+R81+S81+T81+U81</f>
        <v>58029</v>
      </c>
      <c r="J81" s="20">
        <f>6761+13616</f>
        <v>20377</v>
      </c>
      <c r="K81" s="29">
        <f>5214+1416-6630</f>
        <v>0</v>
      </c>
      <c r="L81" s="29">
        <f>5214-5214</f>
        <v>0</v>
      </c>
      <c r="M81" s="29">
        <f>5214-3039</f>
        <v>2175</v>
      </c>
      <c r="N81" s="29">
        <v>5214</v>
      </c>
      <c r="O81" s="29">
        <f>15620-6213</f>
        <v>9407</v>
      </c>
      <c r="P81" s="29"/>
      <c r="Q81" s="29"/>
      <c r="R81" s="29">
        <v>5214</v>
      </c>
      <c r="S81" s="29">
        <v>5214</v>
      </c>
      <c r="T81" s="29">
        <v>5214</v>
      </c>
      <c r="U81" s="29">
        <v>5214</v>
      </c>
    </row>
    <row r="82" spans="1:21" ht="63" customHeight="1">
      <c r="A82" s="167"/>
      <c r="B82" s="170"/>
      <c r="C82" s="170"/>
      <c r="D82" s="181"/>
      <c r="E82" s="127">
        <f>E77+1</f>
        <v>15</v>
      </c>
      <c r="F82" s="124" t="s">
        <v>29</v>
      </c>
      <c r="G82" s="125">
        <f>G83+G84+G85+G86</f>
        <v>588781</v>
      </c>
      <c r="H82" s="125">
        <v>825871</v>
      </c>
      <c r="I82" s="125">
        <f t="shared" ref="I82:U82" si="14">I83+I84+I85+I86</f>
        <v>698210</v>
      </c>
      <c r="J82" s="8">
        <f t="shared" si="14"/>
        <v>0</v>
      </c>
      <c r="K82" s="7">
        <f t="shared" si="14"/>
        <v>136754</v>
      </c>
      <c r="L82" s="7">
        <f t="shared" si="14"/>
        <v>65630</v>
      </c>
      <c r="M82" s="7">
        <f t="shared" si="14"/>
        <v>62283</v>
      </c>
      <c r="N82" s="7">
        <f t="shared" si="14"/>
        <v>60070</v>
      </c>
      <c r="O82" s="7">
        <f t="shared" si="14"/>
        <v>160839</v>
      </c>
      <c r="P82" s="7">
        <f t="shared" si="14"/>
        <v>54588</v>
      </c>
      <c r="Q82" s="7">
        <f t="shared" si="14"/>
        <v>35143</v>
      </c>
      <c r="R82" s="7">
        <f t="shared" si="14"/>
        <v>44479</v>
      </c>
      <c r="S82" s="7">
        <f t="shared" si="14"/>
        <v>43320</v>
      </c>
      <c r="T82" s="7">
        <f t="shared" si="14"/>
        <v>22200</v>
      </c>
      <c r="U82" s="7">
        <f t="shared" si="14"/>
        <v>12904</v>
      </c>
    </row>
    <row r="83" spans="1:21" ht="23.25" customHeight="1">
      <c r="A83" s="167"/>
      <c r="B83" s="170"/>
      <c r="C83" s="170"/>
      <c r="D83" s="181"/>
      <c r="E83" s="127"/>
      <c r="F83" s="124" t="s">
        <v>5</v>
      </c>
      <c r="G83" s="125">
        <v>402931</v>
      </c>
      <c r="H83" s="125"/>
      <c r="I83" s="125">
        <f>J83+K83+L83+M83+N83+O83+P83+Q83+R83+S83+T83+U83</f>
        <v>418630</v>
      </c>
      <c r="J83" s="9">
        <v>0</v>
      </c>
      <c r="K83" s="10">
        <v>86859</v>
      </c>
      <c r="L83" s="10">
        <v>43430</v>
      </c>
      <c r="M83" s="10">
        <v>40083</v>
      </c>
      <c r="N83" s="10">
        <f>35352+2518</f>
        <v>37870</v>
      </c>
      <c r="O83" s="10">
        <f>103716+18602</f>
        <v>122318</v>
      </c>
      <c r="P83" s="10">
        <f>12769+21119</f>
        <v>33888</v>
      </c>
      <c r="Q83" s="10">
        <v>14443</v>
      </c>
      <c r="R83" s="10">
        <v>18619</v>
      </c>
      <c r="S83" s="10">
        <v>21120</v>
      </c>
      <c r="T83" s="10">
        <f>21119-21119</f>
        <v>0</v>
      </c>
      <c r="U83" s="10">
        <f>21120-2518-18602</f>
        <v>0</v>
      </c>
    </row>
    <row r="84" spans="1:21" ht="23.25" hidden="1" customHeight="1">
      <c r="A84" s="167"/>
      <c r="B84" s="170"/>
      <c r="C84" s="170"/>
      <c r="D84" s="181"/>
      <c r="E84" s="127"/>
      <c r="F84" s="124" t="s">
        <v>27</v>
      </c>
      <c r="G84" s="125">
        <v>45839</v>
      </c>
      <c r="H84" s="125"/>
      <c r="I84" s="125">
        <f>J84+K84+L84+M84+N84+O84+P84+Q84+R84+S84+T84+U84</f>
        <v>64627</v>
      </c>
      <c r="J84" s="30">
        <v>0</v>
      </c>
      <c r="K84" s="31">
        <v>13895</v>
      </c>
      <c r="L84" s="31">
        <v>4200</v>
      </c>
      <c r="M84" s="31">
        <v>4200</v>
      </c>
      <c r="N84" s="23">
        <v>4200</v>
      </c>
      <c r="O84" s="23">
        <v>11225</v>
      </c>
      <c r="P84" s="23">
        <v>4200</v>
      </c>
      <c r="Q84" s="23">
        <v>4200</v>
      </c>
      <c r="R84" s="23">
        <v>5907</v>
      </c>
      <c r="S84" s="23">
        <v>4200</v>
      </c>
      <c r="T84" s="23">
        <v>4200</v>
      </c>
      <c r="U84" s="23">
        <v>4200</v>
      </c>
    </row>
    <row r="85" spans="1:21" ht="23.25" hidden="1" customHeight="1">
      <c r="A85" s="167"/>
      <c r="B85" s="170"/>
      <c r="C85" s="170"/>
      <c r="D85" s="181"/>
      <c r="E85" s="127"/>
      <c r="F85" s="124" t="s">
        <v>3</v>
      </c>
      <c r="G85" s="125"/>
      <c r="H85" s="125"/>
      <c r="I85" s="125">
        <f>J85+K85+L85+M85+N85+O85+P85+Q85+R85+S85+T85+U85</f>
        <v>0</v>
      </c>
      <c r="J85" s="32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</row>
    <row r="86" spans="1:21" ht="23.25" hidden="1" customHeight="1">
      <c r="A86" s="167"/>
      <c r="B86" s="170"/>
      <c r="C86" s="170"/>
      <c r="D86" s="181"/>
      <c r="E86" s="127"/>
      <c r="F86" s="124">
        <v>324</v>
      </c>
      <c r="G86" s="125">
        <v>140011</v>
      </c>
      <c r="H86" s="125"/>
      <c r="I86" s="125">
        <f>J86+K86+L86+M86+N86+O86+P86+Q86+R86+S86+T86+U86</f>
        <v>214953</v>
      </c>
      <c r="J86" s="34">
        <f>18000-18000</f>
        <v>0</v>
      </c>
      <c r="K86" s="35">
        <f>18000+18000</f>
        <v>36000</v>
      </c>
      <c r="L86" s="35">
        <v>18000</v>
      </c>
      <c r="M86" s="35">
        <v>18000</v>
      </c>
      <c r="N86" s="35">
        <v>18000</v>
      </c>
      <c r="O86" s="35">
        <f>18000+9296</f>
        <v>27296</v>
      </c>
      <c r="P86" s="35">
        <v>16500</v>
      </c>
      <c r="Q86" s="35">
        <v>16500</v>
      </c>
      <c r="R86" s="35">
        <v>19953</v>
      </c>
      <c r="S86" s="35">
        <v>18000</v>
      </c>
      <c r="T86" s="35">
        <v>18000</v>
      </c>
      <c r="U86" s="35">
        <f>18000-9296</f>
        <v>8704</v>
      </c>
    </row>
    <row r="87" spans="1:21" ht="40.5" customHeight="1">
      <c r="A87" s="167"/>
      <c r="B87" s="170"/>
      <c r="C87" s="170"/>
      <c r="D87" s="181"/>
      <c r="E87" s="5">
        <f>E82+1</f>
        <v>16</v>
      </c>
      <c r="F87" s="6" t="s">
        <v>28</v>
      </c>
      <c r="G87" s="7">
        <f>G88+G89+G90+G91</f>
        <v>95189</v>
      </c>
      <c r="H87" s="7">
        <v>229840</v>
      </c>
      <c r="I87" s="7">
        <f t="shared" ref="I87:U87" si="15">I88+I89+I90+I91</f>
        <v>94752</v>
      </c>
      <c r="J87" s="8">
        <f t="shared" si="15"/>
        <v>11311</v>
      </c>
      <c r="K87" s="7">
        <f t="shared" si="15"/>
        <v>30258</v>
      </c>
      <c r="L87" s="7">
        <f t="shared" si="15"/>
        <v>14414</v>
      </c>
      <c r="M87" s="7">
        <f t="shared" si="15"/>
        <v>15988</v>
      </c>
      <c r="N87" s="7">
        <f t="shared" si="15"/>
        <v>19757</v>
      </c>
      <c r="O87" s="7">
        <f t="shared" si="15"/>
        <v>3024</v>
      </c>
      <c r="P87" s="7">
        <f t="shared" si="15"/>
        <v>0</v>
      </c>
      <c r="Q87" s="7">
        <f t="shared" si="15"/>
        <v>0</v>
      </c>
      <c r="R87" s="7">
        <f t="shared" si="15"/>
        <v>0</v>
      </c>
      <c r="S87" s="7">
        <f t="shared" si="15"/>
        <v>0</v>
      </c>
      <c r="T87" s="7">
        <f t="shared" si="15"/>
        <v>0</v>
      </c>
      <c r="U87" s="7">
        <f t="shared" si="15"/>
        <v>0</v>
      </c>
    </row>
    <row r="88" spans="1:21" ht="23.25" customHeight="1">
      <c r="A88" s="167"/>
      <c r="B88" s="170"/>
      <c r="C88" s="170"/>
      <c r="D88" s="181"/>
      <c r="E88" s="5"/>
      <c r="F88" s="6" t="s">
        <v>5</v>
      </c>
      <c r="G88" s="7">
        <v>70588</v>
      </c>
      <c r="H88" s="7"/>
      <c r="I88" s="7">
        <f>J88+K88+L88+M88+N88+O88+P88+Q88+R88+S88+T88+U88</f>
        <v>70588</v>
      </c>
      <c r="J88" s="9">
        <v>0</v>
      </c>
      <c r="K88" s="10">
        <v>27897</v>
      </c>
      <c r="L88" s="10">
        <v>13726</v>
      </c>
      <c r="M88" s="10">
        <v>13201</v>
      </c>
      <c r="N88" s="10">
        <v>15764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</row>
    <row r="89" spans="1:21" ht="23.25" hidden="1" customHeight="1">
      <c r="A89" s="167"/>
      <c r="B89" s="170"/>
      <c r="C89" s="170"/>
      <c r="D89" s="181"/>
      <c r="E89" s="5"/>
      <c r="F89" s="6" t="s">
        <v>27</v>
      </c>
      <c r="G89" s="7">
        <v>5400</v>
      </c>
      <c r="H89" s="7"/>
      <c r="I89" s="7">
        <f>J89+K89+L89+M89+N89+O89+P89+Q89+R89+S89+T89+U89</f>
        <v>4963</v>
      </c>
      <c r="J89" s="22">
        <v>0</v>
      </c>
      <c r="K89" s="23">
        <v>2361</v>
      </c>
      <c r="L89" s="23">
        <v>688</v>
      </c>
      <c r="M89" s="23">
        <v>637</v>
      </c>
      <c r="N89" s="23">
        <v>628</v>
      </c>
      <c r="O89" s="23">
        <v>649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</row>
    <row r="90" spans="1:21" ht="23.25" hidden="1" customHeight="1">
      <c r="A90" s="167"/>
      <c r="B90" s="170"/>
      <c r="C90" s="170"/>
      <c r="D90" s="181"/>
      <c r="E90" s="5"/>
      <c r="F90" s="6" t="s">
        <v>3</v>
      </c>
      <c r="G90" s="7"/>
      <c r="H90" s="7"/>
      <c r="I90" s="7">
        <f>J90+K90+L90+M90+N90+O90+P90+Q90+R90+S90+T90+U90</f>
        <v>0</v>
      </c>
      <c r="J90" s="22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</row>
    <row r="91" spans="1:21" ht="23.25" hidden="1" customHeight="1">
      <c r="A91" s="167"/>
      <c r="B91" s="170"/>
      <c r="C91" s="170"/>
      <c r="D91" s="181"/>
      <c r="E91" s="5"/>
      <c r="F91" s="6">
        <v>324</v>
      </c>
      <c r="G91" s="7">
        <v>19201</v>
      </c>
      <c r="H91" s="7"/>
      <c r="I91" s="7">
        <f>J91+K91+L91+M91+N91+O91+P91+Q91+R91+S91+T91+U91</f>
        <v>19201</v>
      </c>
      <c r="J91" s="36">
        <f>3949+7362</f>
        <v>11311</v>
      </c>
      <c r="K91" s="37">
        <f>3365-3365</f>
        <v>0</v>
      </c>
      <c r="L91" s="37">
        <f>3365-3365</f>
        <v>0</v>
      </c>
      <c r="M91" s="37">
        <f>3365-1215</f>
        <v>2150</v>
      </c>
      <c r="N91" s="37">
        <v>3365</v>
      </c>
      <c r="O91" s="37">
        <f>3365-990</f>
        <v>2375</v>
      </c>
      <c r="P91" s="17"/>
      <c r="Q91" s="17"/>
      <c r="R91" s="17"/>
      <c r="S91" s="17"/>
      <c r="T91" s="17"/>
      <c r="U91" s="17"/>
    </row>
    <row r="92" spans="1:21" ht="64.5" customHeight="1">
      <c r="A92" s="167"/>
      <c r="B92" s="170"/>
      <c r="C92" s="170"/>
      <c r="D92" s="181"/>
      <c r="E92" s="5">
        <f>E87+1</f>
        <v>17</v>
      </c>
      <c r="F92" s="6" t="s">
        <v>26</v>
      </c>
      <c r="G92" s="7">
        <f>G93+G94+G95+G96</f>
        <v>164640</v>
      </c>
      <c r="H92" s="7">
        <v>376496</v>
      </c>
      <c r="I92" s="7">
        <f t="shared" ref="I92:U92" si="16">I93+I94+I95+I96</f>
        <v>266047</v>
      </c>
      <c r="J92" s="8">
        <f t="shared" si="16"/>
        <v>0</v>
      </c>
      <c r="K92" s="7">
        <f t="shared" si="16"/>
        <v>90354</v>
      </c>
      <c r="L92" s="7">
        <f t="shared" si="16"/>
        <v>30770</v>
      </c>
      <c r="M92" s="7">
        <f t="shared" si="16"/>
        <v>29841</v>
      </c>
      <c r="N92" s="7">
        <f t="shared" si="16"/>
        <v>24916</v>
      </c>
      <c r="O92" s="7">
        <f t="shared" si="16"/>
        <v>17761</v>
      </c>
      <c r="P92" s="7">
        <f t="shared" si="16"/>
        <v>10771</v>
      </c>
      <c r="Q92" s="7">
        <f t="shared" si="16"/>
        <v>2359</v>
      </c>
      <c r="R92" s="7">
        <f t="shared" si="16"/>
        <v>20830</v>
      </c>
      <c r="S92" s="7">
        <f t="shared" si="16"/>
        <v>22774</v>
      </c>
      <c r="T92" s="7">
        <f t="shared" si="16"/>
        <v>9388</v>
      </c>
      <c r="U92" s="7">
        <f t="shared" si="16"/>
        <v>6283</v>
      </c>
    </row>
    <row r="93" spans="1:21" ht="23.25" customHeight="1">
      <c r="A93" s="167"/>
      <c r="B93" s="170"/>
      <c r="C93" s="170"/>
      <c r="D93" s="181"/>
      <c r="E93" s="5"/>
      <c r="F93" s="6" t="s">
        <v>5</v>
      </c>
      <c r="G93" s="7">
        <v>115105</v>
      </c>
      <c r="H93" s="7"/>
      <c r="I93" s="7">
        <f>J93+K93+L93+M93+N93+O93+P93+Q93+R93+S93+T93+U93</f>
        <v>115105</v>
      </c>
      <c r="J93" s="13">
        <v>0</v>
      </c>
      <c r="K93" s="14">
        <v>34402</v>
      </c>
      <c r="L93" s="14">
        <v>19793</v>
      </c>
      <c r="M93" s="14">
        <v>19793</v>
      </c>
      <c r="N93" s="14">
        <f>19793</f>
        <v>19793</v>
      </c>
      <c r="O93" s="14">
        <f>26660-14992</f>
        <v>11668</v>
      </c>
      <c r="P93" s="14">
        <v>8521</v>
      </c>
      <c r="Q93" s="14">
        <v>109</v>
      </c>
      <c r="R93" s="14">
        <v>109</v>
      </c>
      <c r="S93" s="14">
        <v>259</v>
      </c>
      <c r="T93" s="14">
        <v>399</v>
      </c>
      <c r="U93" s="14">
        <v>259</v>
      </c>
    </row>
    <row r="94" spans="1:21" ht="23.25" hidden="1" customHeight="1">
      <c r="A94" s="167"/>
      <c r="B94" s="170"/>
      <c r="C94" s="170"/>
      <c r="D94" s="181"/>
      <c r="E94" s="5"/>
      <c r="F94" s="6" t="s">
        <v>4</v>
      </c>
      <c r="G94" s="7">
        <v>9504</v>
      </c>
      <c r="H94" s="7"/>
      <c r="I94" s="7">
        <f>J94+K94+L94+M94+N94+O94+P94+Q94+R94+S94+T94+U94</f>
        <v>9504</v>
      </c>
      <c r="J94" s="39"/>
      <c r="K94" s="38">
        <v>3920</v>
      </c>
      <c r="L94" s="38">
        <v>1050</v>
      </c>
      <c r="M94" s="38">
        <v>1050</v>
      </c>
      <c r="N94" s="38">
        <v>1050</v>
      </c>
      <c r="O94" s="38">
        <f>2692-758</f>
        <v>1934</v>
      </c>
      <c r="P94" s="38">
        <v>250</v>
      </c>
      <c r="Q94" s="38">
        <v>250</v>
      </c>
      <c r="R94" s="38"/>
      <c r="S94" s="38"/>
      <c r="T94" s="38"/>
      <c r="U94" s="38"/>
    </row>
    <row r="95" spans="1:21" ht="23.25" hidden="1" customHeight="1">
      <c r="A95" s="167"/>
      <c r="B95" s="170"/>
      <c r="C95" s="170"/>
      <c r="D95" s="181"/>
      <c r="E95" s="5"/>
      <c r="F95" s="6" t="s">
        <v>25</v>
      </c>
      <c r="G95" s="7"/>
      <c r="H95" s="7"/>
      <c r="I95" s="7">
        <f>J95+K95+L95+M95+N95+O95+P95+Q95+R95+S95+T95+U95</f>
        <v>101407</v>
      </c>
      <c r="J95" s="13"/>
      <c r="K95" s="14">
        <v>43886</v>
      </c>
      <c r="L95" s="14">
        <v>5854</v>
      </c>
      <c r="M95" s="14">
        <v>4925</v>
      </c>
      <c r="N95" s="14">
        <v>0</v>
      </c>
      <c r="O95" s="14">
        <v>86</v>
      </c>
      <c r="P95" s="14">
        <v>0</v>
      </c>
      <c r="Q95" s="14">
        <v>0</v>
      </c>
      <c r="R95" s="14">
        <v>17648</v>
      </c>
      <c r="S95" s="14">
        <v>19442</v>
      </c>
      <c r="T95" s="14">
        <v>5122</v>
      </c>
      <c r="U95" s="14">
        <v>4444</v>
      </c>
    </row>
    <row r="96" spans="1:21" ht="23.25" hidden="1" customHeight="1">
      <c r="A96" s="167"/>
      <c r="B96" s="170"/>
      <c r="C96" s="170"/>
      <c r="D96" s="181"/>
      <c r="E96" s="5"/>
      <c r="F96" s="40">
        <v>324</v>
      </c>
      <c r="G96" s="7">
        <v>40031</v>
      </c>
      <c r="H96" s="7"/>
      <c r="I96" s="7">
        <f>J96+K96+L96+M96+N96+O96+P96+Q96+R96+S96+T96+U96</f>
        <v>40031</v>
      </c>
      <c r="J96" s="41">
        <f>4073-4073</f>
        <v>0</v>
      </c>
      <c r="K96" s="42">
        <f>4073+4073</f>
        <v>8146</v>
      </c>
      <c r="L96" s="42">
        <v>4073</v>
      </c>
      <c r="M96" s="42">
        <v>4073</v>
      </c>
      <c r="N96" s="42">
        <v>4073</v>
      </c>
      <c r="O96" s="42">
        <v>4073</v>
      </c>
      <c r="P96" s="42">
        <v>2000</v>
      </c>
      <c r="Q96" s="42">
        <v>2000</v>
      </c>
      <c r="R96" s="42">
        <v>3073</v>
      </c>
      <c r="S96" s="42">
        <v>3073</v>
      </c>
      <c r="T96" s="42">
        <v>3867</v>
      </c>
      <c r="U96" s="42">
        <f>4073-2493</f>
        <v>1580</v>
      </c>
    </row>
    <row r="97" spans="1:21" ht="23.25" customHeight="1">
      <c r="A97" s="167"/>
      <c r="B97" s="170"/>
      <c r="C97" s="170"/>
      <c r="D97" s="181"/>
      <c r="E97" s="5">
        <f>E92+1</f>
        <v>18</v>
      </c>
      <c r="F97" s="6" t="s">
        <v>24</v>
      </c>
      <c r="G97" s="7">
        <f>G98+G99+G100+G101</f>
        <v>193318</v>
      </c>
      <c r="H97" s="7">
        <v>283185</v>
      </c>
      <c r="I97" s="7">
        <f t="shared" ref="I97:U97" si="17">I98+I99+I100+I101</f>
        <v>192773</v>
      </c>
      <c r="J97" s="8">
        <f t="shared" si="17"/>
        <v>0</v>
      </c>
      <c r="K97" s="7">
        <f t="shared" si="17"/>
        <v>48224</v>
      </c>
      <c r="L97" s="7">
        <f t="shared" si="17"/>
        <v>24288</v>
      </c>
      <c r="M97" s="7">
        <f t="shared" si="17"/>
        <v>23188</v>
      </c>
      <c r="N97" s="7">
        <f t="shared" si="17"/>
        <v>23188</v>
      </c>
      <c r="O97" s="7">
        <f t="shared" si="17"/>
        <v>23923</v>
      </c>
      <c r="P97" s="7">
        <f t="shared" si="17"/>
        <v>19331</v>
      </c>
      <c r="Q97" s="7">
        <f t="shared" si="17"/>
        <v>10839</v>
      </c>
      <c r="R97" s="7">
        <f t="shared" si="17"/>
        <v>14157</v>
      </c>
      <c r="S97" s="7">
        <f t="shared" si="17"/>
        <v>2427</v>
      </c>
      <c r="T97" s="7">
        <f t="shared" si="17"/>
        <v>2427</v>
      </c>
      <c r="U97" s="7">
        <f t="shared" si="17"/>
        <v>781</v>
      </c>
    </row>
    <row r="98" spans="1:21" ht="23.25" customHeight="1">
      <c r="A98" s="167"/>
      <c r="B98" s="170"/>
      <c r="C98" s="170"/>
      <c r="D98" s="181"/>
      <c r="E98" s="5"/>
      <c r="F98" s="6" t="s">
        <v>5</v>
      </c>
      <c r="G98" s="7">
        <v>166477</v>
      </c>
      <c r="H98" s="7"/>
      <c r="I98" s="7">
        <f>J98+K98+L98+M98+N98+O98+P98+Q98+R98+S98+T98+U98</f>
        <v>166477</v>
      </c>
      <c r="J98" s="43">
        <v>0</v>
      </c>
      <c r="K98" s="26">
        <v>42595</v>
      </c>
      <c r="L98" s="26">
        <v>21982</v>
      </c>
      <c r="M98" s="26">
        <v>20882</v>
      </c>
      <c r="N98" s="26">
        <v>20882</v>
      </c>
      <c r="O98" s="26">
        <v>20882</v>
      </c>
      <c r="P98" s="26">
        <f>35956-19271</f>
        <v>16685</v>
      </c>
      <c r="Q98" s="26">
        <v>10839</v>
      </c>
      <c r="R98" s="26">
        <v>11730</v>
      </c>
      <c r="S98" s="26">
        <v>0</v>
      </c>
      <c r="T98" s="26">
        <v>0</v>
      </c>
      <c r="U98" s="26">
        <v>0</v>
      </c>
    </row>
    <row r="99" spans="1:21" ht="23.25" hidden="1" customHeight="1">
      <c r="A99" s="167"/>
      <c r="B99" s="170"/>
      <c r="C99" s="170"/>
      <c r="D99" s="181"/>
      <c r="E99" s="5"/>
      <c r="F99" s="6" t="s">
        <v>4</v>
      </c>
      <c r="G99" s="44">
        <v>5741</v>
      </c>
      <c r="H99" s="44"/>
      <c r="I99" s="7">
        <f>J99+K99+L99+M99+N99+O99+P99+Q99+R99+S99+T99+U99</f>
        <v>5196</v>
      </c>
      <c r="J99" s="39">
        <f>2022-2022</f>
        <v>0</v>
      </c>
      <c r="K99" s="38">
        <f>-370+2022</f>
        <v>1652</v>
      </c>
      <c r="L99" s="38">
        <v>351</v>
      </c>
      <c r="M99" s="38">
        <v>351</v>
      </c>
      <c r="N99" s="38">
        <v>351</v>
      </c>
      <c r="O99" s="38">
        <v>1086</v>
      </c>
      <c r="P99" s="38">
        <v>0</v>
      </c>
      <c r="Q99" s="38">
        <v>0</v>
      </c>
      <c r="R99" s="38">
        <v>351</v>
      </c>
      <c r="S99" s="38">
        <v>351</v>
      </c>
      <c r="T99" s="38">
        <v>351</v>
      </c>
      <c r="U99" s="38">
        <v>352</v>
      </c>
    </row>
    <row r="100" spans="1:21" ht="23.25" hidden="1" customHeight="1">
      <c r="A100" s="167"/>
      <c r="B100" s="170"/>
      <c r="C100" s="170"/>
      <c r="D100" s="181"/>
      <c r="E100" s="5"/>
      <c r="F100" s="6" t="s">
        <v>3</v>
      </c>
      <c r="G100" s="7"/>
      <c r="H100" s="7"/>
      <c r="I100" s="7">
        <f>J100+K100+L100+M100+N100+O100+P100+Q100+R100+S100+T100+U100</f>
        <v>0</v>
      </c>
      <c r="J100" s="13"/>
      <c r="K100" s="14"/>
      <c r="L100" s="45"/>
      <c r="M100" s="45"/>
      <c r="N100" s="14"/>
      <c r="O100" s="14"/>
      <c r="P100" s="14"/>
      <c r="Q100" s="14"/>
      <c r="R100" s="14"/>
      <c r="S100" s="14"/>
      <c r="T100" s="14"/>
      <c r="U100" s="14"/>
    </row>
    <row r="101" spans="1:21" ht="23.25" hidden="1" customHeight="1">
      <c r="A101" s="167"/>
      <c r="B101" s="170"/>
      <c r="C101" s="170"/>
      <c r="D101" s="181"/>
      <c r="E101" s="5"/>
      <c r="F101" s="40">
        <v>324</v>
      </c>
      <c r="G101" s="7">
        <v>21100</v>
      </c>
      <c r="H101" s="7"/>
      <c r="I101" s="7">
        <f>J101+K101+L101+M101+N101+O101+P101+Q101+R101+S101+T101+U101</f>
        <v>21100</v>
      </c>
      <c r="J101" s="20">
        <f>2022-2022</f>
        <v>0</v>
      </c>
      <c r="K101" s="29">
        <f>1955+2022</f>
        <v>3977</v>
      </c>
      <c r="L101" s="29">
        <v>1955</v>
      </c>
      <c r="M101" s="29">
        <v>1955</v>
      </c>
      <c r="N101" s="29">
        <v>1955</v>
      </c>
      <c r="O101" s="29">
        <v>1955</v>
      </c>
      <c r="P101" s="29">
        <v>2646</v>
      </c>
      <c r="Q101" s="29"/>
      <c r="R101" s="29">
        <v>2076</v>
      </c>
      <c r="S101" s="29">
        <v>2076</v>
      </c>
      <c r="T101" s="29">
        <v>2076</v>
      </c>
      <c r="U101" s="29">
        <f>2076-1647</f>
        <v>429</v>
      </c>
    </row>
    <row r="102" spans="1:21" ht="23.25" customHeight="1">
      <c r="A102" s="167"/>
      <c r="B102" s="170"/>
      <c r="C102" s="170"/>
      <c r="D102" s="181"/>
      <c r="E102" s="46">
        <f>E97+1</f>
        <v>19</v>
      </c>
      <c r="F102" s="6" t="s">
        <v>23</v>
      </c>
      <c r="G102" s="7">
        <f>G103+G104+G105+G106</f>
        <v>267279</v>
      </c>
      <c r="H102" s="7">
        <v>259043</v>
      </c>
      <c r="I102" s="7">
        <f t="shared" ref="I102:U102" si="18">I103+I104+I105+I106</f>
        <v>252076</v>
      </c>
      <c r="J102" s="8">
        <f t="shared" si="18"/>
        <v>0</v>
      </c>
      <c r="K102" s="7">
        <f t="shared" si="18"/>
        <v>44163</v>
      </c>
      <c r="L102" s="7">
        <f t="shared" si="18"/>
        <v>19834</v>
      </c>
      <c r="M102" s="7">
        <f t="shared" si="18"/>
        <v>20363</v>
      </c>
      <c r="N102" s="7">
        <f t="shared" si="18"/>
        <v>21026</v>
      </c>
      <c r="O102" s="7">
        <f t="shared" si="18"/>
        <v>36971</v>
      </c>
      <c r="P102" s="7">
        <f t="shared" si="18"/>
        <v>12679</v>
      </c>
      <c r="Q102" s="7">
        <f t="shared" si="18"/>
        <v>9189</v>
      </c>
      <c r="R102" s="7">
        <f t="shared" si="18"/>
        <v>21678</v>
      </c>
      <c r="S102" s="7">
        <f t="shared" si="18"/>
        <v>39530</v>
      </c>
      <c r="T102" s="7">
        <f t="shared" si="18"/>
        <v>11450</v>
      </c>
      <c r="U102" s="7">
        <f t="shared" si="18"/>
        <v>15193</v>
      </c>
    </row>
    <row r="103" spans="1:21" ht="23.25" customHeight="1">
      <c r="A103" s="167"/>
      <c r="B103" s="170"/>
      <c r="C103" s="170"/>
      <c r="D103" s="181"/>
      <c r="E103" s="5"/>
      <c r="F103" s="6" t="s">
        <v>5</v>
      </c>
      <c r="G103" s="7">
        <v>197681</v>
      </c>
      <c r="H103" s="7"/>
      <c r="I103" s="7">
        <f>J103+K103+L103+M103+N103+O103+P103+Q103+R103+S103+T103+U103</f>
        <v>182478</v>
      </c>
      <c r="J103" s="47">
        <v>0</v>
      </c>
      <c r="K103" s="48">
        <v>32572</v>
      </c>
      <c r="L103" s="48">
        <v>15678</v>
      </c>
      <c r="M103" s="48">
        <v>16156</v>
      </c>
      <c r="N103" s="48">
        <v>16820</v>
      </c>
      <c r="O103" s="48">
        <v>30161</v>
      </c>
      <c r="P103" s="48">
        <v>8473</v>
      </c>
      <c r="Q103" s="48">
        <v>6035</v>
      </c>
      <c r="R103" s="48">
        <f>12471+8593</f>
        <v>21064</v>
      </c>
      <c r="S103" s="48">
        <v>14369</v>
      </c>
      <c r="T103" s="48">
        <f>14875-8593</f>
        <v>6282</v>
      </c>
      <c r="U103" s="48">
        <v>14868</v>
      </c>
    </row>
    <row r="104" spans="1:21" ht="23.25" hidden="1" customHeight="1">
      <c r="A104" s="167"/>
      <c r="B104" s="170"/>
      <c r="C104" s="170"/>
      <c r="D104" s="181"/>
      <c r="E104" s="5"/>
      <c r="F104" s="6" t="s">
        <v>4</v>
      </c>
      <c r="G104" s="49">
        <v>19934</v>
      </c>
      <c r="H104" s="49"/>
      <c r="I104" s="7">
        <f>J104+K104+L104+M104+N104+O104+P104+Q104+R104+S104+T104+U104</f>
        <v>19934</v>
      </c>
      <c r="J104" s="39">
        <f>3142-3142</f>
        <v>0</v>
      </c>
      <c r="K104" s="38">
        <f>2165+3142</f>
        <v>5307</v>
      </c>
      <c r="L104" s="38">
        <v>1017</v>
      </c>
      <c r="M104" s="38">
        <v>1068</v>
      </c>
      <c r="N104" s="38">
        <v>1067</v>
      </c>
      <c r="O104" s="38">
        <v>3671</v>
      </c>
      <c r="P104" s="38">
        <v>1067</v>
      </c>
      <c r="Q104" s="38">
        <v>15</v>
      </c>
      <c r="R104" s="38">
        <v>614</v>
      </c>
      <c r="S104" s="38">
        <v>615</v>
      </c>
      <c r="T104" s="38">
        <f>408+4760</f>
        <v>5168</v>
      </c>
      <c r="U104" s="38">
        <v>325</v>
      </c>
    </row>
    <row r="105" spans="1:21" ht="23.25" hidden="1" customHeight="1">
      <c r="A105" s="167"/>
      <c r="B105" s="170"/>
      <c r="C105" s="170"/>
      <c r="D105" s="181"/>
      <c r="E105" s="5"/>
      <c r="F105" s="6" t="s">
        <v>3</v>
      </c>
      <c r="G105" s="49"/>
      <c r="H105" s="49"/>
      <c r="I105" s="7">
        <f>J105+K105+L105+M105+N105+O105+P105+Q105+R105+S105+T105+U105</f>
        <v>0</v>
      </c>
      <c r="J105" s="39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</row>
    <row r="106" spans="1:21" ht="23.25" hidden="1" customHeight="1">
      <c r="A106" s="167"/>
      <c r="B106" s="170"/>
      <c r="C106" s="170"/>
      <c r="D106" s="181"/>
      <c r="E106" s="5"/>
      <c r="F106" s="40">
        <v>324</v>
      </c>
      <c r="G106" s="7">
        <v>49664</v>
      </c>
      <c r="H106" s="7"/>
      <c r="I106" s="7">
        <f>J106+K106+L106+M106+N106+O106+P106+Q106+R106+S106+T106+U106</f>
        <v>49664</v>
      </c>
      <c r="J106" s="50">
        <f>3142-3142</f>
        <v>0</v>
      </c>
      <c r="K106" s="51">
        <f>3142+3142</f>
        <v>6284</v>
      </c>
      <c r="L106" s="51">
        <v>3139</v>
      </c>
      <c r="M106" s="51">
        <v>3139</v>
      </c>
      <c r="N106" s="51">
        <v>3139</v>
      </c>
      <c r="O106" s="51">
        <v>3139</v>
      </c>
      <c r="P106" s="51">
        <v>3139</v>
      </c>
      <c r="Q106" s="51">
        <v>3139</v>
      </c>
      <c r="R106" s="51"/>
      <c r="S106" s="51">
        <v>24546</v>
      </c>
      <c r="T106" s="51"/>
      <c r="U106" s="52"/>
    </row>
    <row r="107" spans="1:21" ht="44.25" customHeight="1">
      <c r="A107" s="167"/>
      <c r="B107" s="170"/>
      <c r="C107" s="170"/>
      <c r="D107" s="181"/>
      <c r="E107" s="46">
        <f>E102+1</f>
        <v>20</v>
      </c>
      <c r="F107" s="6" t="s">
        <v>22</v>
      </c>
      <c r="G107" s="7">
        <f>G108+G109+G110+G111</f>
        <v>565592</v>
      </c>
      <c r="H107" s="7">
        <v>613247</v>
      </c>
      <c r="I107" s="7">
        <f t="shared" ref="I107:U107" si="19">I108+I109+I110+I111</f>
        <v>565590</v>
      </c>
      <c r="J107" s="8">
        <f t="shared" si="19"/>
        <v>31490</v>
      </c>
      <c r="K107" s="7">
        <f t="shared" si="19"/>
        <v>78277</v>
      </c>
      <c r="L107" s="7">
        <f t="shared" si="19"/>
        <v>42828</v>
      </c>
      <c r="M107" s="7">
        <f t="shared" si="19"/>
        <v>54202</v>
      </c>
      <c r="N107" s="7">
        <f t="shared" si="19"/>
        <v>44571</v>
      </c>
      <c r="O107" s="7">
        <f t="shared" si="19"/>
        <v>123502</v>
      </c>
      <c r="P107" s="7">
        <f t="shared" si="19"/>
        <v>43505</v>
      </c>
      <c r="Q107" s="7">
        <f t="shared" si="19"/>
        <v>49687</v>
      </c>
      <c r="R107" s="7">
        <f t="shared" si="19"/>
        <v>40500</v>
      </c>
      <c r="S107" s="7">
        <f t="shared" si="19"/>
        <v>11610</v>
      </c>
      <c r="T107" s="7">
        <f t="shared" si="19"/>
        <v>22682</v>
      </c>
      <c r="U107" s="7">
        <f t="shared" si="19"/>
        <v>22736</v>
      </c>
    </row>
    <row r="108" spans="1:21" ht="23.25" customHeight="1">
      <c r="A108" s="167"/>
      <c r="B108" s="170"/>
      <c r="C108" s="170"/>
      <c r="D108" s="181"/>
      <c r="E108" s="5"/>
      <c r="F108" s="6" t="s">
        <v>5</v>
      </c>
      <c r="G108" s="7">
        <v>394055</v>
      </c>
      <c r="H108" s="7"/>
      <c r="I108" s="7">
        <f>J108+K108+L108+M108+N108+O108+P108+Q108+R108+S108+T108+U108</f>
        <v>394053</v>
      </c>
      <c r="J108" s="53">
        <v>0</v>
      </c>
      <c r="K108" s="54">
        <v>67273</v>
      </c>
      <c r="L108" s="54">
        <f>31824+3202</f>
        <v>35026</v>
      </c>
      <c r="M108" s="54">
        <f>31969+7986</f>
        <v>39955</v>
      </c>
      <c r="N108" s="54">
        <v>29479</v>
      </c>
      <c r="O108" s="54">
        <f>89478+5242</f>
        <v>94720</v>
      </c>
      <c r="P108" s="54">
        <f>13601+19271</f>
        <v>32872</v>
      </c>
      <c r="Q108" s="54">
        <f>8889+29321</f>
        <v>38210</v>
      </c>
      <c r="R108" s="54">
        <v>29866</v>
      </c>
      <c r="S108" s="54">
        <f>29321-29321</f>
        <v>0</v>
      </c>
      <c r="T108" s="54">
        <f>31320-19271</f>
        <v>12049</v>
      </c>
      <c r="U108" s="54">
        <f>31033-7986-3202-5242</f>
        <v>14603</v>
      </c>
    </row>
    <row r="109" spans="1:21" ht="23.25" hidden="1" customHeight="1">
      <c r="A109" s="167"/>
      <c r="B109" s="170"/>
      <c r="C109" s="170"/>
      <c r="D109" s="181"/>
      <c r="E109" s="5"/>
      <c r="F109" s="6" t="s">
        <v>21</v>
      </c>
      <c r="G109" s="7">
        <v>56634</v>
      </c>
      <c r="H109" s="7"/>
      <c r="I109" s="7">
        <f>J109+K109+L109+M109+N109+O109+P109+Q109+R109+S109+T109+U109</f>
        <v>56634</v>
      </c>
      <c r="J109" s="56"/>
      <c r="K109" s="57">
        <v>11004</v>
      </c>
      <c r="L109" s="57">
        <v>3242</v>
      </c>
      <c r="M109" s="57">
        <v>3242</v>
      </c>
      <c r="N109" s="57">
        <v>4087</v>
      </c>
      <c r="O109" s="57">
        <f>7676+6930</f>
        <v>14606</v>
      </c>
      <c r="P109" s="57">
        <v>2488</v>
      </c>
      <c r="Q109" s="57">
        <v>3332</v>
      </c>
      <c r="R109" s="57">
        <v>2489</v>
      </c>
      <c r="S109" s="57">
        <v>3399</v>
      </c>
      <c r="T109" s="57">
        <v>2488</v>
      </c>
      <c r="U109" s="57">
        <f>2488+10699-6930</f>
        <v>6257</v>
      </c>
    </row>
    <row r="110" spans="1:21" ht="23.25" hidden="1" customHeight="1">
      <c r="A110" s="167"/>
      <c r="B110" s="170"/>
      <c r="C110" s="170"/>
      <c r="D110" s="181"/>
      <c r="E110" s="5"/>
      <c r="F110" s="6" t="s">
        <v>3</v>
      </c>
      <c r="G110" s="7"/>
      <c r="H110" s="7"/>
      <c r="I110" s="7">
        <f>J110+K110+L110+M110+N110+O110+P110+Q110+R110+S110+T110+U110</f>
        <v>0</v>
      </c>
      <c r="J110" s="18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</row>
    <row r="111" spans="1:21" ht="23.25" hidden="1" customHeight="1">
      <c r="A111" s="167"/>
      <c r="B111" s="170"/>
      <c r="C111" s="170"/>
      <c r="D111" s="181"/>
      <c r="E111" s="5"/>
      <c r="F111" s="40">
        <v>324</v>
      </c>
      <c r="G111" s="7">
        <v>114903</v>
      </c>
      <c r="H111" s="7"/>
      <c r="I111" s="7">
        <f>J111+K111+L111+M111+N111+O111+P111+Q111+R111+S111+T111+U111</f>
        <v>114903</v>
      </c>
      <c r="J111" s="50">
        <f>12956+18534</f>
        <v>31490</v>
      </c>
      <c r="K111" s="58"/>
      <c r="L111" s="58">
        <f>11006-5577-869</f>
        <v>4560</v>
      </c>
      <c r="M111" s="58">
        <v>11005</v>
      </c>
      <c r="N111" s="58">
        <v>11005</v>
      </c>
      <c r="O111" s="58">
        <f>11005+2181+990</f>
        <v>14176</v>
      </c>
      <c r="P111" s="58">
        <v>8145</v>
      </c>
      <c r="Q111" s="58">
        <v>8145</v>
      </c>
      <c r="R111" s="58">
        <v>8145</v>
      </c>
      <c r="S111" s="58">
        <f>8145+66</f>
        <v>8211</v>
      </c>
      <c r="T111" s="58">
        <v>8145</v>
      </c>
      <c r="U111" s="58">
        <f>8145-5279-990</f>
        <v>1876</v>
      </c>
    </row>
    <row r="112" spans="1:21" s="60" customFormat="1" ht="23.25" customHeight="1">
      <c r="A112" s="167"/>
      <c r="B112" s="170"/>
      <c r="C112" s="170"/>
      <c r="D112" s="181"/>
      <c r="E112" s="128">
        <f>E107+1</f>
        <v>21</v>
      </c>
      <c r="F112" s="124" t="s">
        <v>20</v>
      </c>
      <c r="G112" s="125">
        <f>G113+G114+G115+G116</f>
        <v>1236484</v>
      </c>
      <c r="H112" s="125">
        <v>1132760</v>
      </c>
      <c r="I112" s="125">
        <f t="shared" ref="I112:U112" si="20">I113+I114+I115+I116</f>
        <v>1236723</v>
      </c>
      <c r="J112" s="8">
        <f t="shared" si="20"/>
        <v>0</v>
      </c>
      <c r="K112" s="7">
        <f t="shared" si="20"/>
        <v>294718</v>
      </c>
      <c r="L112" s="7">
        <f t="shared" si="20"/>
        <v>165014</v>
      </c>
      <c r="M112" s="7">
        <f t="shared" si="20"/>
        <v>151214</v>
      </c>
      <c r="N112" s="7">
        <f t="shared" si="20"/>
        <v>154839</v>
      </c>
      <c r="O112" s="7">
        <f t="shared" si="20"/>
        <v>162546</v>
      </c>
      <c r="P112" s="7">
        <f t="shared" si="20"/>
        <v>223573</v>
      </c>
      <c r="Q112" s="7">
        <f t="shared" si="20"/>
        <v>84819</v>
      </c>
      <c r="R112" s="7">
        <f t="shared" si="20"/>
        <v>0</v>
      </c>
      <c r="S112" s="7">
        <f t="shared" si="20"/>
        <v>0</v>
      </c>
      <c r="T112" s="7">
        <f t="shared" si="20"/>
        <v>0</v>
      </c>
      <c r="U112" s="7">
        <f t="shared" si="20"/>
        <v>0</v>
      </c>
    </row>
    <row r="113" spans="1:21" ht="23.25" customHeight="1">
      <c r="A113" s="167"/>
      <c r="B113" s="170"/>
      <c r="C113" s="170"/>
      <c r="D113" s="181"/>
      <c r="E113" s="127"/>
      <c r="F113" s="124" t="s">
        <v>5</v>
      </c>
      <c r="G113" s="125">
        <v>869485</v>
      </c>
      <c r="H113" s="125"/>
      <c r="I113" s="125">
        <f>J113+K113+L113+M113+N113+O113+P113+Q113+R113+S113+T113+U113</f>
        <v>922373</v>
      </c>
      <c r="J113" s="61">
        <v>0</v>
      </c>
      <c r="K113" s="62">
        <v>201180</v>
      </c>
      <c r="L113" s="62">
        <v>127371</v>
      </c>
      <c r="M113" s="62">
        <v>113572</v>
      </c>
      <c r="N113" s="62">
        <v>111909</v>
      </c>
      <c r="O113" s="62">
        <v>111872</v>
      </c>
      <c r="P113" s="62">
        <v>171650</v>
      </c>
      <c r="Q113" s="62">
        <v>84819</v>
      </c>
      <c r="R113" s="62">
        <v>0</v>
      </c>
      <c r="S113" s="62">
        <v>0</v>
      </c>
      <c r="T113" s="62">
        <v>0</v>
      </c>
      <c r="U113" s="62">
        <v>0</v>
      </c>
    </row>
    <row r="114" spans="1:21" ht="23.25" hidden="1" customHeight="1">
      <c r="A114" s="167"/>
      <c r="B114" s="170"/>
      <c r="C114" s="170"/>
      <c r="D114" s="181"/>
      <c r="E114" s="5"/>
      <c r="F114" s="124" t="s">
        <v>4</v>
      </c>
      <c r="G114" s="125">
        <v>73593</v>
      </c>
      <c r="H114" s="125"/>
      <c r="I114" s="125">
        <f>J114+K114+L114+M114+N114+O114+P114+Q114+R114+S114+T114+U114</f>
        <v>52427</v>
      </c>
      <c r="J114" s="39">
        <f>35000-35000</f>
        <v>0</v>
      </c>
      <c r="K114" s="38">
        <f>-10593+35000</f>
        <v>24407</v>
      </c>
      <c r="L114" s="38">
        <v>1774</v>
      </c>
      <c r="M114" s="38">
        <v>2642</v>
      </c>
      <c r="N114" s="38">
        <v>7930</v>
      </c>
      <c r="O114" s="38">
        <v>15674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</row>
    <row r="115" spans="1:21" ht="23.25" hidden="1" customHeight="1">
      <c r="A115" s="167"/>
      <c r="B115" s="170"/>
      <c r="C115" s="170"/>
      <c r="D115" s="181"/>
      <c r="E115" s="5"/>
      <c r="F115" s="124" t="s">
        <v>3</v>
      </c>
      <c r="G115" s="125"/>
      <c r="H115" s="125"/>
      <c r="I115" s="125">
        <f>J115+K115+L115+M115+N115+O115+P115+Q115+R115+S115+T115+U115</f>
        <v>0</v>
      </c>
      <c r="J115" s="63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</row>
    <row r="116" spans="1:21" ht="23.25" hidden="1" customHeight="1">
      <c r="A116" s="167"/>
      <c r="B116" s="170"/>
      <c r="C116" s="170"/>
      <c r="D116" s="181"/>
      <c r="E116" s="5"/>
      <c r="F116" s="126">
        <v>324</v>
      </c>
      <c r="G116" s="125">
        <v>293406</v>
      </c>
      <c r="H116" s="125"/>
      <c r="I116" s="125">
        <f>J116+K116+L116+M116+N116+O116+P116+Q116+R116+S116+T116+U116</f>
        <v>261923</v>
      </c>
      <c r="J116" s="16">
        <f>35000-35000</f>
        <v>0</v>
      </c>
      <c r="K116" s="65">
        <f>35000+35000-869</f>
        <v>69131</v>
      </c>
      <c r="L116" s="65">
        <f>35000+869</f>
        <v>35869</v>
      </c>
      <c r="M116" s="65">
        <v>35000</v>
      </c>
      <c r="N116" s="65">
        <v>35000</v>
      </c>
      <c r="O116" s="65">
        <v>35000</v>
      </c>
      <c r="P116" s="65">
        <v>51923</v>
      </c>
      <c r="Q116" s="65"/>
      <c r="R116" s="66"/>
      <c r="S116" s="66"/>
      <c r="T116" s="14"/>
      <c r="U116" s="14"/>
    </row>
    <row r="117" spans="1:21" s="60" customFormat="1" ht="23.25" customHeight="1">
      <c r="A117" s="167"/>
      <c r="B117" s="170"/>
      <c r="C117" s="170"/>
      <c r="D117" s="181"/>
      <c r="E117" s="46">
        <f>E112+1</f>
        <v>22</v>
      </c>
      <c r="F117" s="67" t="s">
        <v>19</v>
      </c>
      <c r="G117" s="7">
        <f>G118+G119+G120+G121</f>
        <v>246227</v>
      </c>
      <c r="H117" s="7">
        <v>401995</v>
      </c>
      <c r="I117" s="7">
        <f t="shared" ref="I117:U117" si="21">I118+I119+I120+I121</f>
        <v>277591</v>
      </c>
      <c r="J117" s="8">
        <f t="shared" si="21"/>
        <v>19209</v>
      </c>
      <c r="K117" s="7">
        <f t="shared" si="21"/>
        <v>53505</v>
      </c>
      <c r="L117" s="7">
        <f t="shared" si="21"/>
        <v>27293.25</v>
      </c>
      <c r="M117" s="7">
        <f t="shared" si="21"/>
        <v>33326</v>
      </c>
      <c r="N117" s="7">
        <f t="shared" si="21"/>
        <v>44560</v>
      </c>
      <c r="O117" s="7">
        <f t="shared" si="21"/>
        <v>26580</v>
      </c>
      <c r="P117" s="7">
        <f t="shared" si="21"/>
        <v>11480</v>
      </c>
      <c r="Q117" s="7">
        <f t="shared" si="21"/>
        <v>12729.75</v>
      </c>
      <c r="R117" s="7">
        <f t="shared" si="21"/>
        <v>13698</v>
      </c>
      <c r="S117" s="7">
        <f t="shared" si="21"/>
        <v>13698</v>
      </c>
      <c r="T117" s="7">
        <f t="shared" si="21"/>
        <v>13697</v>
      </c>
      <c r="U117" s="7">
        <f t="shared" si="21"/>
        <v>7815</v>
      </c>
    </row>
    <row r="118" spans="1:21" s="60" customFormat="1" ht="23.25" customHeight="1">
      <c r="A118" s="167"/>
      <c r="B118" s="170"/>
      <c r="C118" s="170"/>
      <c r="D118" s="181"/>
      <c r="E118" s="46"/>
      <c r="F118" s="6" t="s">
        <v>5</v>
      </c>
      <c r="G118" s="7">
        <v>122894</v>
      </c>
      <c r="H118" s="7"/>
      <c r="I118" s="7">
        <f>J118+K118+L118+M118+N118+O118+P118+Q118+R118+S118+T118+U118</f>
        <v>122894</v>
      </c>
      <c r="J118" s="39">
        <v>0</v>
      </c>
      <c r="K118" s="38">
        <f>56428.25-6454-6454</f>
        <v>43520.25</v>
      </c>
      <c r="L118" s="38">
        <f>19329.25-6301</f>
        <v>13028.25</v>
      </c>
      <c r="M118" s="38">
        <v>19627.25</v>
      </c>
      <c r="N118" s="38">
        <v>29314.25</v>
      </c>
      <c r="O118" s="38">
        <v>16799</v>
      </c>
      <c r="P118" s="38">
        <f>22107-21502</f>
        <v>605</v>
      </c>
      <c r="Q118" s="38"/>
      <c r="R118" s="38"/>
      <c r="S118" s="38"/>
      <c r="T118" s="38"/>
      <c r="U118" s="38"/>
    </row>
    <row r="119" spans="1:21" s="60" customFormat="1" ht="23.25" hidden="1" customHeight="1">
      <c r="A119" s="167"/>
      <c r="B119" s="170"/>
      <c r="C119" s="170"/>
      <c r="D119" s="181"/>
      <c r="E119" s="46"/>
      <c r="F119" s="6" t="s">
        <v>4</v>
      </c>
      <c r="G119" s="7">
        <v>51770</v>
      </c>
      <c r="H119" s="7"/>
      <c r="I119" s="7">
        <f>J119+K119+L119+M119+N119+O119+P119+Q119+R119+S119+T119+U119</f>
        <v>51770</v>
      </c>
      <c r="J119" s="39"/>
      <c r="K119" s="38">
        <f>12777.75-8330</f>
        <v>4447.75</v>
      </c>
      <c r="L119" s="38">
        <v>11331</v>
      </c>
      <c r="M119" s="38">
        <v>4422.75</v>
      </c>
      <c r="N119" s="38">
        <v>4422.75</v>
      </c>
      <c r="O119" s="38">
        <f>7019-6404</f>
        <v>615</v>
      </c>
      <c r="P119" s="38">
        <v>4421</v>
      </c>
      <c r="Q119" s="38">
        <v>4421.75</v>
      </c>
      <c r="R119" s="38">
        <v>4422</v>
      </c>
      <c r="S119" s="38">
        <v>4422</v>
      </c>
      <c r="T119" s="38">
        <v>4422</v>
      </c>
      <c r="U119" s="38">
        <v>4422</v>
      </c>
    </row>
    <row r="120" spans="1:21" ht="23.25" customHeight="1">
      <c r="A120" s="167"/>
      <c r="B120" s="170"/>
      <c r="C120" s="170"/>
      <c r="D120" s="181"/>
      <c r="E120" s="5"/>
      <c r="F120" s="6" t="s">
        <v>16</v>
      </c>
      <c r="G120" s="7"/>
      <c r="H120" s="7"/>
      <c r="I120" s="7">
        <f>J120+K120+L120+M120+N120+O120+P120+Q120+R120+S120+T120+U120</f>
        <v>31364</v>
      </c>
      <c r="J120" s="68">
        <f>2714-2714</f>
        <v>0</v>
      </c>
      <c r="K120" s="69">
        <f>2823+2714</f>
        <v>5537</v>
      </c>
      <c r="L120" s="69">
        <v>2781</v>
      </c>
      <c r="M120" s="69">
        <v>2823</v>
      </c>
      <c r="N120" s="69">
        <v>4370</v>
      </c>
      <c r="O120" s="69">
        <v>2713</v>
      </c>
      <c r="P120" s="69">
        <v>0</v>
      </c>
      <c r="Q120" s="69">
        <v>1854</v>
      </c>
      <c r="R120" s="69">
        <v>2822</v>
      </c>
      <c r="S120" s="69">
        <v>2822</v>
      </c>
      <c r="T120" s="69">
        <v>2821</v>
      </c>
      <c r="U120" s="69">
        <v>2821</v>
      </c>
    </row>
    <row r="121" spans="1:21" ht="23.25" hidden="1" customHeight="1">
      <c r="A121" s="167"/>
      <c r="B121" s="170"/>
      <c r="C121" s="170"/>
      <c r="D121" s="181"/>
      <c r="E121" s="5"/>
      <c r="F121" s="40">
        <v>324</v>
      </c>
      <c r="G121" s="7">
        <v>71563</v>
      </c>
      <c r="H121" s="7"/>
      <c r="I121" s="7">
        <f>J121+K121+L121+M121+N121+O121+P121+Q121+R121+S121+T121+U121</f>
        <v>71563</v>
      </c>
      <c r="J121" s="20">
        <f>6454+12755</f>
        <v>19209</v>
      </c>
      <c r="K121" s="29">
        <f>6454-6454</f>
        <v>0</v>
      </c>
      <c r="L121" s="29">
        <f>6454-6301</f>
        <v>153</v>
      </c>
      <c r="M121" s="29">
        <v>6453</v>
      </c>
      <c r="N121" s="29">
        <v>6453</v>
      </c>
      <c r="O121" s="29">
        <v>6453</v>
      </c>
      <c r="P121" s="29">
        <v>6454</v>
      </c>
      <c r="Q121" s="29">
        <v>6454</v>
      </c>
      <c r="R121" s="29">
        <v>6454</v>
      </c>
      <c r="S121" s="29">
        <v>6454</v>
      </c>
      <c r="T121" s="29">
        <v>6454</v>
      </c>
      <c r="U121" s="29">
        <f>6454-5882</f>
        <v>572</v>
      </c>
    </row>
    <row r="122" spans="1:21" s="60" customFormat="1" ht="23.25" customHeight="1">
      <c r="A122" s="167"/>
      <c r="B122" s="170"/>
      <c r="C122" s="170"/>
      <c r="D122" s="181"/>
      <c r="E122" s="46">
        <f>E117+1</f>
        <v>23</v>
      </c>
      <c r="F122" s="71" t="s">
        <v>18</v>
      </c>
      <c r="G122" s="7">
        <f>G123+G124+G125+G126</f>
        <v>543384</v>
      </c>
      <c r="H122" s="7">
        <v>568011</v>
      </c>
      <c r="I122" s="7">
        <f t="shared" ref="I122:U122" si="22">I123+I124+I125+I126</f>
        <v>504322</v>
      </c>
      <c r="J122" s="8">
        <f t="shared" si="22"/>
        <v>13599</v>
      </c>
      <c r="K122" s="7">
        <f t="shared" si="22"/>
        <v>91376</v>
      </c>
      <c r="L122" s="7">
        <f t="shared" si="22"/>
        <v>46628</v>
      </c>
      <c r="M122" s="7">
        <f t="shared" si="22"/>
        <v>46573</v>
      </c>
      <c r="N122" s="7">
        <f t="shared" si="22"/>
        <v>46572</v>
      </c>
      <c r="O122" s="7">
        <f t="shared" si="22"/>
        <v>82626</v>
      </c>
      <c r="P122" s="7">
        <f t="shared" si="22"/>
        <v>25662</v>
      </c>
      <c r="Q122" s="7">
        <f t="shared" si="22"/>
        <v>43572</v>
      </c>
      <c r="R122" s="7">
        <f t="shared" si="22"/>
        <v>33672</v>
      </c>
      <c r="S122" s="7">
        <f t="shared" si="22"/>
        <v>33472</v>
      </c>
      <c r="T122" s="7">
        <f t="shared" si="22"/>
        <v>10010</v>
      </c>
      <c r="U122" s="7">
        <f t="shared" si="22"/>
        <v>30560</v>
      </c>
    </row>
    <row r="123" spans="1:21" ht="23.25" customHeight="1">
      <c r="A123" s="167"/>
      <c r="B123" s="170"/>
      <c r="C123" s="170"/>
      <c r="D123" s="181"/>
      <c r="E123" s="5"/>
      <c r="F123" s="6" t="s">
        <v>5</v>
      </c>
      <c r="G123" s="7">
        <v>361359</v>
      </c>
      <c r="H123" s="7"/>
      <c r="I123" s="7">
        <f>J123+K123+L123+M123+N123+O123+P123+Q123+R123+S123+T123+U123</f>
        <v>350614</v>
      </c>
      <c r="J123" s="61">
        <v>0</v>
      </c>
      <c r="K123" s="62">
        <v>68364</v>
      </c>
      <c r="L123" s="62">
        <v>32086</v>
      </c>
      <c r="M123" s="62">
        <v>32086</v>
      </c>
      <c r="N123" s="62">
        <v>32086</v>
      </c>
      <c r="O123" s="62">
        <v>49086</v>
      </c>
      <c r="P123" s="62">
        <v>25662</v>
      </c>
      <c r="Q123" s="62">
        <f>20362+21662</f>
        <v>42024</v>
      </c>
      <c r="R123" s="62">
        <v>23662</v>
      </c>
      <c r="S123" s="62">
        <v>23462</v>
      </c>
      <c r="T123" s="62">
        <f>21662-21662</f>
        <v>0</v>
      </c>
      <c r="U123" s="62">
        <v>22096</v>
      </c>
    </row>
    <row r="124" spans="1:21" ht="23.25" hidden="1" customHeight="1">
      <c r="A124" s="167"/>
      <c r="B124" s="170"/>
      <c r="C124" s="170"/>
      <c r="D124" s="181"/>
      <c r="E124" s="5"/>
      <c r="F124" s="6" t="s">
        <v>4</v>
      </c>
      <c r="G124" s="7">
        <v>50146</v>
      </c>
      <c r="H124" s="7"/>
      <c r="I124" s="7">
        <f>J124+K124+L124+M124+N124+O124+P124+Q124+R124+S124+T124+U124</f>
        <v>50285</v>
      </c>
      <c r="J124" s="72"/>
      <c r="K124" s="55">
        <f>16631-1883</f>
        <v>14748</v>
      </c>
      <c r="L124" s="55">
        <v>4697</v>
      </c>
      <c r="M124" s="55">
        <v>4642</v>
      </c>
      <c r="N124" s="55">
        <v>4641</v>
      </c>
      <c r="O124" s="55">
        <v>9635</v>
      </c>
      <c r="P124" s="55">
        <v>0</v>
      </c>
      <c r="Q124" s="55">
        <v>1548</v>
      </c>
      <c r="R124" s="55">
        <v>2980</v>
      </c>
      <c r="S124" s="55">
        <v>2980</v>
      </c>
      <c r="T124" s="55">
        <v>2980</v>
      </c>
      <c r="U124" s="55">
        <f>2982-1548</f>
        <v>1434</v>
      </c>
    </row>
    <row r="125" spans="1:21" ht="23.25" hidden="1" customHeight="1">
      <c r="A125" s="167"/>
      <c r="B125" s="170"/>
      <c r="C125" s="170"/>
      <c r="D125" s="181"/>
      <c r="E125" s="5"/>
      <c r="F125" s="6" t="s">
        <v>3</v>
      </c>
      <c r="G125" s="7"/>
      <c r="H125" s="7"/>
      <c r="I125" s="7">
        <f>J125+K125+L125+M125+N125+O125+P125+Q125+R125+S125+T125+U125</f>
        <v>0</v>
      </c>
      <c r="J125" s="72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</row>
    <row r="126" spans="1:21" ht="23.25" hidden="1" customHeight="1">
      <c r="A126" s="167"/>
      <c r="B126" s="170"/>
      <c r="C126" s="170"/>
      <c r="D126" s="181"/>
      <c r="E126" s="5"/>
      <c r="F126" s="40">
        <v>324</v>
      </c>
      <c r="G126" s="7">
        <v>131879</v>
      </c>
      <c r="H126" s="7"/>
      <c r="I126" s="7">
        <f>J126+K126+L126+M126+N126+O126+P126+Q126+R126+S126+T126+U126</f>
        <v>103423</v>
      </c>
      <c r="J126" s="16">
        <f>11716+1883</f>
        <v>13599</v>
      </c>
      <c r="K126" s="17">
        <f>10147-1883</f>
        <v>8264</v>
      </c>
      <c r="L126" s="17">
        <v>9845</v>
      </c>
      <c r="M126" s="17">
        <v>9845</v>
      </c>
      <c r="N126" s="17">
        <v>9845</v>
      </c>
      <c r="O126" s="17">
        <v>23905</v>
      </c>
      <c r="P126" s="17"/>
      <c r="Q126" s="17"/>
      <c r="R126" s="17">
        <v>7030</v>
      </c>
      <c r="S126" s="17">
        <v>7030</v>
      </c>
      <c r="T126" s="17">
        <v>7030</v>
      </c>
      <c r="U126" s="17">
        <v>7030</v>
      </c>
    </row>
    <row r="127" spans="1:21" s="60" customFormat="1" ht="45.75" customHeight="1">
      <c r="A127" s="167"/>
      <c r="B127" s="170"/>
      <c r="C127" s="170"/>
      <c r="D127" s="181"/>
      <c r="E127" s="46">
        <f>E122+1</f>
        <v>24</v>
      </c>
      <c r="F127" s="73" t="s">
        <v>17</v>
      </c>
      <c r="G127" s="7">
        <f>G128+G129+G130+G131</f>
        <v>255841</v>
      </c>
      <c r="H127" s="7">
        <v>534044</v>
      </c>
      <c r="I127" s="7">
        <f t="shared" ref="I127:U127" si="23">I128+I129+I130+I131</f>
        <v>277643.2</v>
      </c>
      <c r="J127" s="8">
        <f t="shared" si="23"/>
        <v>0</v>
      </c>
      <c r="K127" s="7">
        <f t="shared" si="23"/>
        <v>33723</v>
      </c>
      <c r="L127" s="7">
        <f t="shared" si="23"/>
        <v>65371</v>
      </c>
      <c r="M127" s="7">
        <f t="shared" si="23"/>
        <v>39223.199999999997</v>
      </c>
      <c r="N127" s="7">
        <f t="shared" si="23"/>
        <v>27974</v>
      </c>
      <c r="O127" s="7">
        <f t="shared" si="23"/>
        <v>46665</v>
      </c>
      <c r="P127" s="7">
        <f t="shared" si="23"/>
        <v>10811</v>
      </c>
      <c r="Q127" s="7">
        <f t="shared" si="23"/>
        <v>8686</v>
      </c>
      <c r="R127" s="7">
        <f t="shared" si="23"/>
        <v>13037</v>
      </c>
      <c r="S127" s="7">
        <f t="shared" si="23"/>
        <v>16753</v>
      </c>
      <c r="T127" s="7">
        <f t="shared" si="23"/>
        <v>9040</v>
      </c>
      <c r="U127" s="7">
        <f t="shared" si="23"/>
        <v>6360</v>
      </c>
    </row>
    <row r="128" spans="1:21" s="60" customFormat="1" ht="23.25" customHeight="1">
      <c r="A128" s="167"/>
      <c r="B128" s="170"/>
      <c r="C128" s="170"/>
      <c r="D128" s="181"/>
      <c r="E128" s="46"/>
      <c r="F128" s="6" t="s">
        <v>5</v>
      </c>
      <c r="G128" s="7">
        <v>171350</v>
      </c>
      <c r="H128" s="7"/>
      <c r="I128" s="7">
        <f>J128+K128+L128+M128+N128+O128+P128+Q128+R128+S128+T128+U128</f>
        <v>171350.2</v>
      </c>
      <c r="J128" s="8">
        <v>0</v>
      </c>
      <c r="K128" s="7">
        <f>52046-36151</f>
        <v>15895</v>
      </c>
      <c r="L128" s="7">
        <f>28353+27978</f>
        <v>56331</v>
      </c>
      <c r="M128" s="7">
        <f>23397+6786.2</f>
        <v>30183.200000000001</v>
      </c>
      <c r="N128" s="7">
        <f>19485-551</f>
        <v>18934</v>
      </c>
      <c r="O128" s="7">
        <f>39182-3961</f>
        <v>35221</v>
      </c>
      <c r="P128" s="7">
        <f>7811</f>
        <v>7811</v>
      </c>
      <c r="Q128" s="7">
        <f>2392</f>
        <v>2392</v>
      </c>
      <c r="R128" s="7">
        <f>1435+2562</f>
        <v>3997</v>
      </c>
      <c r="S128" s="7">
        <f>2830-21-2223</f>
        <v>586</v>
      </c>
      <c r="T128" s="7"/>
      <c r="U128" s="7"/>
    </row>
    <row r="129" spans="1:62" ht="23.25" hidden="1" customHeight="1">
      <c r="A129" s="167"/>
      <c r="B129" s="170"/>
      <c r="C129" s="170"/>
      <c r="D129" s="181"/>
      <c r="E129" s="5"/>
      <c r="F129" s="6" t="s">
        <v>4</v>
      </c>
      <c r="G129" s="7">
        <v>31359</v>
      </c>
      <c r="H129" s="7"/>
      <c r="I129" s="7">
        <f>J129+K129+L129+M129+N129+O129+P129+Q129+R129+S129+T129+U129</f>
        <v>31359</v>
      </c>
      <c r="J129" s="39">
        <f>4000-4000</f>
        <v>0</v>
      </c>
      <c r="K129" s="38">
        <f>1933+4000</f>
        <v>5933</v>
      </c>
      <c r="L129" s="38">
        <v>2935</v>
      </c>
      <c r="M129" s="38">
        <v>2935</v>
      </c>
      <c r="N129" s="38">
        <v>2935</v>
      </c>
      <c r="O129" s="38">
        <v>4626</v>
      </c>
      <c r="P129" s="38">
        <v>0</v>
      </c>
      <c r="Q129" s="38">
        <v>2935</v>
      </c>
      <c r="R129" s="38">
        <v>2935</v>
      </c>
      <c r="S129" s="38">
        <v>2935</v>
      </c>
      <c r="T129" s="38">
        <v>2935</v>
      </c>
      <c r="U129" s="38">
        <f>2935-2680</f>
        <v>255</v>
      </c>
    </row>
    <row r="130" spans="1:62" ht="23.25" customHeight="1">
      <c r="A130" s="167"/>
      <c r="B130" s="170"/>
      <c r="C130" s="170"/>
      <c r="D130" s="181"/>
      <c r="E130" s="5"/>
      <c r="F130" s="6" t="s">
        <v>16</v>
      </c>
      <c r="G130" s="7"/>
      <c r="H130" s="7"/>
      <c r="I130" s="7">
        <f>J130+K130+L130+M130+N130+O130+P130+Q130+R130+S130+T130+U130</f>
        <v>21802</v>
      </c>
      <c r="J130" s="44">
        <v>0</v>
      </c>
      <c r="K130" s="44">
        <v>3895</v>
      </c>
      <c r="L130" s="44">
        <v>2105</v>
      </c>
      <c r="M130" s="44">
        <v>2105</v>
      </c>
      <c r="N130" s="44">
        <v>2105</v>
      </c>
      <c r="O130" s="44">
        <v>2818</v>
      </c>
      <c r="P130" s="44">
        <v>0</v>
      </c>
      <c r="Q130" s="44">
        <v>354</v>
      </c>
      <c r="R130" s="44">
        <v>2105</v>
      </c>
      <c r="S130" s="44">
        <v>2105</v>
      </c>
      <c r="T130" s="44">
        <v>2105</v>
      </c>
      <c r="U130" s="44">
        <v>2105</v>
      </c>
    </row>
    <row r="131" spans="1:62" ht="23.25" hidden="1" customHeight="1">
      <c r="A131" s="167"/>
      <c r="B131" s="170"/>
      <c r="C131" s="170"/>
      <c r="D131" s="181"/>
      <c r="E131" s="5"/>
      <c r="F131" s="40">
        <v>324</v>
      </c>
      <c r="G131" s="7">
        <v>53132</v>
      </c>
      <c r="H131" s="7"/>
      <c r="I131" s="7">
        <f>J131+K131+L131+M131+N131+O131+P131+Q131+R131+S131+T131+U131</f>
        <v>53132</v>
      </c>
      <c r="J131" s="16">
        <f>4000-4000</f>
        <v>0</v>
      </c>
      <c r="K131" s="74">
        <f>4000+4000</f>
        <v>8000</v>
      </c>
      <c r="L131" s="74">
        <v>4000</v>
      </c>
      <c r="M131" s="74">
        <v>4000</v>
      </c>
      <c r="N131" s="74">
        <v>4000</v>
      </c>
      <c r="O131" s="74">
        <v>4000</v>
      </c>
      <c r="P131" s="74">
        <v>3000</v>
      </c>
      <c r="Q131" s="74">
        <v>3005</v>
      </c>
      <c r="R131" s="74">
        <v>4000</v>
      </c>
      <c r="S131" s="74">
        <f>4000+7127</f>
        <v>11127</v>
      </c>
      <c r="T131" s="74">
        <v>4000</v>
      </c>
      <c r="U131" s="74">
        <v>4000</v>
      </c>
    </row>
    <row r="132" spans="1:62" s="60" customFormat="1" ht="23.25" customHeight="1">
      <c r="A132" s="167"/>
      <c r="B132" s="170"/>
      <c r="C132" s="170"/>
      <c r="D132" s="181"/>
      <c r="E132" s="46">
        <f>E127+1</f>
        <v>25</v>
      </c>
      <c r="F132" s="75" t="s">
        <v>15</v>
      </c>
      <c r="G132" s="7">
        <f>G133+G134+G135+G136</f>
        <v>885263</v>
      </c>
      <c r="H132" s="7">
        <v>467478</v>
      </c>
      <c r="I132" s="7">
        <f t="shared" ref="I132:U132" si="24">I133+I134+I135+I136</f>
        <v>759647</v>
      </c>
      <c r="J132" s="8">
        <f t="shared" si="24"/>
        <v>37782</v>
      </c>
      <c r="K132" s="7">
        <f t="shared" si="24"/>
        <v>100760</v>
      </c>
      <c r="L132" s="7">
        <f t="shared" si="24"/>
        <v>69271</v>
      </c>
      <c r="M132" s="7">
        <f t="shared" si="24"/>
        <v>69271</v>
      </c>
      <c r="N132" s="7">
        <f t="shared" si="24"/>
        <v>69271</v>
      </c>
      <c r="O132" s="7">
        <f t="shared" si="24"/>
        <v>69271</v>
      </c>
      <c r="P132" s="7">
        <f t="shared" si="24"/>
        <v>95376</v>
      </c>
      <c r="Q132" s="7">
        <f t="shared" si="24"/>
        <v>69271</v>
      </c>
      <c r="R132" s="7">
        <f t="shared" si="24"/>
        <v>107892</v>
      </c>
      <c r="S132" s="7">
        <f t="shared" si="24"/>
        <v>49879</v>
      </c>
      <c r="T132" s="7">
        <f t="shared" si="24"/>
        <v>21543</v>
      </c>
      <c r="U132" s="7">
        <f t="shared" si="24"/>
        <v>60</v>
      </c>
    </row>
    <row r="133" spans="1:62" ht="23.25" customHeight="1">
      <c r="A133" s="167"/>
      <c r="B133" s="170"/>
      <c r="C133" s="170"/>
      <c r="D133" s="181"/>
      <c r="E133" s="5"/>
      <c r="F133" s="6" t="s">
        <v>5</v>
      </c>
      <c r="G133" s="7">
        <v>642975</v>
      </c>
      <c r="H133" s="7"/>
      <c r="I133" s="7">
        <f>J133+K133+L133+M133+N133+O133+P133+Q133+R133+S133+T133+U133</f>
        <v>517359</v>
      </c>
      <c r="J133" s="13">
        <v>0</v>
      </c>
      <c r="K133" s="14">
        <v>86518</v>
      </c>
      <c r="L133" s="14">
        <v>43259</v>
      </c>
      <c r="M133" s="14">
        <v>43259</v>
      </c>
      <c r="N133" s="14">
        <v>43259</v>
      </c>
      <c r="O133" s="14">
        <v>43259</v>
      </c>
      <c r="P133" s="14">
        <f>43259+26105</f>
        <v>69364</v>
      </c>
      <c r="Q133" s="14">
        <v>43259</v>
      </c>
      <c r="R133" s="14">
        <f>43259+41510</f>
        <v>84769</v>
      </c>
      <c r="S133" s="14">
        <v>43259</v>
      </c>
      <c r="T133" s="14">
        <f>43259-26105</f>
        <v>17154</v>
      </c>
      <c r="U133" s="14">
        <f>41510-41510</f>
        <v>0</v>
      </c>
    </row>
    <row r="134" spans="1:62" ht="23.25" hidden="1" customHeight="1">
      <c r="A134" s="167"/>
      <c r="B134" s="170"/>
      <c r="C134" s="170"/>
      <c r="D134" s="181"/>
      <c r="E134" s="5"/>
      <c r="F134" s="6" t="s">
        <v>4</v>
      </c>
      <c r="G134" s="76">
        <v>72880</v>
      </c>
      <c r="H134" s="76"/>
      <c r="I134" s="7">
        <f>J134+K134+L134+M134+N134+O134+P134+Q134+R134+S134+T134+U134</f>
        <v>72880</v>
      </c>
      <c r="J134" s="39">
        <f>18390-18390</f>
        <v>0</v>
      </c>
      <c r="K134" s="38">
        <f>31630-18390</f>
        <v>13240</v>
      </c>
      <c r="L134" s="38">
        <v>6620</v>
      </c>
      <c r="M134" s="38">
        <v>6620</v>
      </c>
      <c r="N134" s="38">
        <v>6620</v>
      </c>
      <c r="O134" s="38">
        <v>6620</v>
      </c>
      <c r="P134" s="38">
        <v>6620</v>
      </c>
      <c r="Q134" s="38">
        <v>6620</v>
      </c>
      <c r="R134" s="38">
        <f>6620+2231</f>
        <v>8851</v>
      </c>
      <c r="S134" s="38">
        <v>6620</v>
      </c>
      <c r="T134" s="38">
        <f>6620-2231</f>
        <v>4389</v>
      </c>
      <c r="U134" s="38">
        <f>5576-5516</f>
        <v>60</v>
      </c>
    </row>
    <row r="135" spans="1:62" ht="23.25" hidden="1" customHeight="1">
      <c r="A135" s="167"/>
      <c r="B135" s="170"/>
      <c r="C135" s="170"/>
      <c r="D135" s="181"/>
      <c r="E135" s="5"/>
      <c r="F135" s="6" t="s">
        <v>3</v>
      </c>
      <c r="G135" s="7"/>
      <c r="H135" s="7"/>
      <c r="I135" s="7">
        <f>J135+K135+L135+M135+N135+O135+P135+Q135+R135+S135+T135+U135</f>
        <v>0</v>
      </c>
      <c r="J135" s="13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BI135" s="77"/>
      <c r="BJ135" s="77"/>
    </row>
    <row r="136" spans="1:62" ht="23.25" hidden="1" customHeight="1">
      <c r="A136" s="167"/>
      <c r="B136" s="170"/>
      <c r="C136" s="170"/>
      <c r="D136" s="181"/>
      <c r="E136" s="5"/>
      <c r="F136" s="40">
        <v>324</v>
      </c>
      <c r="G136" s="7">
        <v>169408</v>
      </c>
      <c r="H136" s="7"/>
      <c r="I136" s="7">
        <f>J136+K136+L136+M136+N136+O136+P136+Q136+R136+S136+T136+U136</f>
        <v>169408</v>
      </c>
      <c r="J136" s="16">
        <f>17542+20240</f>
        <v>37782</v>
      </c>
      <c r="K136" s="74">
        <f>19392-18390</f>
        <v>1002</v>
      </c>
      <c r="L136" s="74">
        <v>19392</v>
      </c>
      <c r="M136" s="74">
        <v>19392</v>
      </c>
      <c r="N136" s="74">
        <v>19392</v>
      </c>
      <c r="O136" s="74">
        <v>19392</v>
      </c>
      <c r="P136" s="74">
        <v>19392</v>
      </c>
      <c r="Q136" s="74">
        <v>19392</v>
      </c>
      <c r="R136" s="74">
        <f>19392-5120</f>
        <v>14272</v>
      </c>
      <c r="S136" s="74"/>
      <c r="T136" s="74"/>
      <c r="U136" s="74"/>
      <c r="BI136" s="77"/>
      <c r="BJ136" s="77"/>
    </row>
    <row r="137" spans="1:62" ht="45.75" customHeight="1">
      <c r="A137" s="167"/>
      <c r="B137" s="170"/>
      <c r="C137" s="170"/>
      <c r="D137" s="181"/>
      <c r="E137" s="46">
        <f>E132+1</f>
        <v>26</v>
      </c>
      <c r="F137" s="71" t="s">
        <v>14</v>
      </c>
      <c r="G137" s="7">
        <f>G138+G139+G140+G141</f>
        <v>822564</v>
      </c>
      <c r="H137" s="7">
        <v>852403</v>
      </c>
      <c r="I137" s="7">
        <f t="shared" ref="I137:U137" si="25">I138+I139+I140+I141</f>
        <v>793619</v>
      </c>
      <c r="J137" s="8">
        <f t="shared" si="25"/>
        <v>0</v>
      </c>
      <c r="K137" s="7">
        <f t="shared" si="25"/>
        <v>159194</v>
      </c>
      <c r="L137" s="7">
        <f t="shared" si="25"/>
        <v>76369</v>
      </c>
      <c r="M137" s="7">
        <f t="shared" si="25"/>
        <v>92748</v>
      </c>
      <c r="N137" s="7">
        <f t="shared" si="25"/>
        <v>78143</v>
      </c>
      <c r="O137" s="7">
        <f t="shared" si="25"/>
        <v>86744</v>
      </c>
      <c r="P137" s="7">
        <f t="shared" si="25"/>
        <v>74917</v>
      </c>
      <c r="Q137" s="7">
        <f t="shared" si="25"/>
        <v>51507</v>
      </c>
      <c r="R137" s="7">
        <f t="shared" si="25"/>
        <v>91569</v>
      </c>
      <c r="S137" s="7">
        <f t="shared" si="25"/>
        <v>47992</v>
      </c>
      <c r="T137" s="7">
        <f t="shared" si="25"/>
        <v>27040</v>
      </c>
      <c r="U137" s="7">
        <f t="shared" si="25"/>
        <v>7396</v>
      </c>
      <c r="BI137" s="77"/>
      <c r="BJ137" s="77"/>
    </row>
    <row r="138" spans="1:62" ht="23.25" customHeight="1">
      <c r="A138" s="167"/>
      <c r="B138" s="170"/>
      <c r="C138" s="170"/>
      <c r="D138" s="181"/>
      <c r="E138" s="5"/>
      <c r="F138" s="6" t="s">
        <v>5</v>
      </c>
      <c r="G138" s="7">
        <v>565569</v>
      </c>
      <c r="H138" s="7"/>
      <c r="I138" s="7">
        <f>J138+K138+L138+M138+N138+O138+P138+Q138+R138+S138+T138+U138</f>
        <v>547037</v>
      </c>
      <c r="J138" s="78">
        <v>0</v>
      </c>
      <c r="K138" s="79">
        <v>105613</v>
      </c>
      <c r="L138" s="79">
        <v>53772</v>
      </c>
      <c r="M138" s="79">
        <v>70151</v>
      </c>
      <c r="N138" s="79">
        <v>55546</v>
      </c>
      <c r="O138" s="79">
        <v>64147</v>
      </c>
      <c r="P138" s="79">
        <v>48679</v>
      </c>
      <c r="Q138" s="79">
        <f>25102+7677</f>
        <v>32779</v>
      </c>
      <c r="R138" s="79">
        <f>38862+26960</f>
        <v>65822</v>
      </c>
      <c r="S138" s="79">
        <v>31242</v>
      </c>
      <c r="T138" s="79">
        <f>26963-7677</f>
        <v>19286</v>
      </c>
      <c r="U138" s="79">
        <f>26960-26960</f>
        <v>0</v>
      </c>
      <c r="BI138" s="77"/>
      <c r="BJ138" s="77"/>
    </row>
    <row r="139" spans="1:62" ht="23.25" hidden="1" customHeight="1">
      <c r="A139" s="167"/>
      <c r="B139" s="170"/>
      <c r="C139" s="170"/>
      <c r="D139" s="181"/>
      <c r="E139" s="5"/>
      <c r="F139" s="6" t="s">
        <v>4</v>
      </c>
      <c r="G139" s="80">
        <v>50140</v>
      </c>
      <c r="H139" s="80"/>
      <c r="I139" s="7">
        <f>J139+K139+L139+M139+N139+O139+P139+Q139+R139+S139+T139+U139</f>
        <v>48400</v>
      </c>
      <c r="J139" s="39">
        <f>18993-18993</f>
        <v>0</v>
      </c>
      <c r="K139" s="38">
        <f>-3398+18993</f>
        <v>15595</v>
      </c>
      <c r="L139" s="38">
        <v>3604</v>
      </c>
      <c r="M139" s="38">
        <v>3604</v>
      </c>
      <c r="N139" s="38">
        <v>3604</v>
      </c>
      <c r="O139" s="38">
        <v>3604</v>
      </c>
      <c r="P139" s="38">
        <f>6779+634</f>
        <v>7413</v>
      </c>
      <c r="Q139" s="38">
        <v>759</v>
      </c>
      <c r="R139" s="38">
        <v>2713</v>
      </c>
      <c r="S139" s="38">
        <v>2712</v>
      </c>
      <c r="T139" s="38">
        <v>2713</v>
      </c>
      <c r="U139" s="38">
        <f>2713-634</f>
        <v>2079</v>
      </c>
      <c r="BI139" s="77"/>
      <c r="BJ139" s="77"/>
    </row>
    <row r="140" spans="1:62" ht="23.25" hidden="1" customHeight="1">
      <c r="A140" s="167"/>
      <c r="B140" s="170"/>
      <c r="C140" s="170"/>
      <c r="D140" s="181"/>
      <c r="E140" s="5"/>
      <c r="F140" s="6" t="s">
        <v>3</v>
      </c>
      <c r="G140" s="7"/>
      <c r="H140" s="7"/>
      <c r="I140" s="7">
        <f>J140+K140+L140+M140+N140+O140+P140+Q140+R140+S140+T140+U140</f>
        <v>0</v>
      </c>
      <c r="J140" s="47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BI140" s="73"/>
      <c r="BJ140" s="81"/>
    </row>
    <row r="141" spans="1:62" ht="23.25" hidden="1" customHeight="1">
      <c r="A141" s="167"/>
      <c r="B141" s="170"/>
      <c r="C141" s="170"/>
      <c r="D141" s="181"/>
      <c r="E141" s="5"/>
      <c r="F141" s="40">
        <v>324</v>
      </c>
      <c r="G141" s="7">
        <v>206855</v>
      </c>
      <c r="H141" s="7"/>
      <c r="I141" s="7">
        <f>J141+K141+L141+M141+N141+O141+P141+Q141+R141+S141+T141+U141</f>
        <v>198182</v>
      </c>
      <c r="J141" s="82">
        <f>18993-18993</f>
        <v>0</v>
      </c>
      <c r="K141" s="83">
        <f>18993+18993</f>
        <v>37986</v>
      </c>
      <c r="L141" s="83">
        <v>18993</v>
      </c>
      <c r="M141" s="83">
        <v>18993</v>
      </c>
      <c r="N141" s="83">
        <v>18993</v>
      </c>
      <c r="O141" s="83">
        <v>18993</v>
      </c>
      <c r="P141" s="83">
        <f>14037+4788</f>
        <v>18825</v>
      </c>
      <c r="Q141" s="83">
        <f>14037+3932</f>
        <v>17969</v>
      </c>
      <c r="R141" s="83">
        <f>14038+8996</f>
        <v>23034</v>
      </c>
      <c r="S141" s="83">
        <v>14038</v>
      </c>
      <c r="T141" s="83">
        <f>14037-8996</f>
        <v>5041</v>
      </c>
      <c r="U141" s="84">
        <f>14037-4788-3932</f>
        <v>5317</v>
      </c>
      <c r="BI141" s="73"/>
      <c r="BJ141" s="81"/>
    </row>
    <row r="142" spans="1:62" s="60" customFormat="1" ht="23.25" customHeight="1">
      <c r="A142" s="167"/>
      <c r="B142" s="170"/>
      <c r="C142" s="170"/>
      <c r="D142" s="181"/>
      <c r="E142" s="46">
        <f>E137+1</f>
        <v>27</v>
      </c>
      <c r="F142" s="71" t="s">
        <v>13</v>
      </c>
      <c r="G142" s="7">
        <f>G143+G144+G145+G146</f>
        <v>189985</v>
      </c>
      <c r="H142" s="7">
        <v>225036</v>
      </c>
      <c r="I142" s="7">
        <f t="shared" ref="I142:U142" si="26">I143+I144+I145+I146</f>
        <v>189671</v>
      </c>
      <c r="J142" s="8">
        <f t="shared" si="26"/>
        <v>8502</v>
      </c>
      <c r="K142" s="7">
        <f t="shared" si="26"/>
        <v>34462</v>
      </c>
      <c r="L142" s="7">
        <f t="shared" si="26"/>
        <v>18384</v>
      </c>
      <c r="M142" s="7">
        <f t="shared" si="26"/>
        <v>18380</v>
      </c>
      <c r="N142" s="7">
        <f t="shared" si="26"/>
        <v>18384</v>
      </c>
      <c r="O142" s="7">
        <f t="shared" si="26"/>
        <v>19750</v>
      </c>
      <c r="P142" s="7">
        <f t="shared" si="26"/>
        <v>11938</v>
      </c>
      <c r="Q142" s="7">
        <f t="shared" si="26"/>
        <v>11938</v>
      </c>
      <c r="R142" s="7">
        <f t="shared" si="26"/>
        <v>12267</v>
      </c>
      <c r="S142" s="7">
        <f t="shared" si="26"/>
        <v>12262</v>
      </c>
      <c r="T142" s="7">
        <f t="shared" si="26"/>
        <v>12258</v>
      </c>
      <c r="U142" s="7">
        <f t="shared" si="26"/>
        <v>11146</v>
      </c>
      <c r="BI142" s="73"/>
      <c r="BJ142" s="81"/>
    </row>
    <row r="143" spans="1:62" ht="23.25" customHeight="1">
      <c r="A143" s="167"/>
      <c r="B143" s="170"/>
      <c r="C143" s="170"/>
      <c r="D143" s="181"/>
      <c r="E143" s="5"/>
      <c r="F143" s="6" t="s">
        <v>5</v>
      </c>
      <c r="G143" s="7">
        <v>129814</v>
      </c>
      <c r="H143" s="7"/>
      <c r="I143" s="7">
        <f>J143+K143+L143+M143+N143+O143+P143+Q143+R143+S143+T143+U143</f>
        <v>129811</v>
      </c>
      <c r="J143" s="43">
        <v>0</v>
      </c>
      <c r="K143" s="26">
        <v>28298</v>
      </c>
      <c r="L143" s="26">
        <v>12714</v>
      </c>
      <c r="M143" s="26">
        <v>12713</v>
      </c>
      <c r="N143" s="26">
        <v>12714</v>
      </c>
      <c r="O143" s="26">
        <v>12714</v>
      </c>
      <c r="P143" s="26">
        <v>8443</v>
      </c>
      <c r="Q143" s="26">
        <f>8443</f>
        <v>8443</v>
      </c>
      <c r="R143" s="26">
        <v>8443</v>
      </c>
      <c r="S143" s="26">
        <v>8443</v>
      </c>
      <c r="T143" s="26">
        <v>8443</v>
      </c>
      <c r="U143" s="26">
        <v>8443</v>
      </c>
      <c r="BI143" s="77"/>
      <c r="BJ143" s="77"/>
    </row>
    <row r="144" spans="1:62" ht="23.25" hidden="1" customHeight="1">
      <c r="A144" s="167"/>
      <c r="B144" s="170"/>
      <c r="C144" s="170"/>
      <c r="D144" s="181"/>
      <c r="E144" s="5"/>
      <c r="F144" s="6" t="s">
        <v>4</v>
      </c>
      <c r="G144" s="70">
        <v>8972</v>
      </c>
      <c r="H144" s="70"/>
      <c r="I144" s="7">
        <f>J144+K144+L144+M144+N144+O144+P144+Q144+R144+S144+T144+U144</f>
        <v>8661</v>
      </c>
      <c r="J144" s="39">
        <f>2800-2800</f>
        <v>0</v>
      </c>
      <c r="K144" s="38">
        <f>6063-2800</f>
        <v>3263</v>
      </c>
      <c r="L144" s="38">
        <v>530</v>
      </c>
      <c r="M144" s="38">
        <v>527</v>
      </c>
      <c r="N144" s="38">
        <v>530</v>
      </c>
      <c r="O144" s="38">
        <v>1896</v>
      </c>
      <c r="P144" s="38">
        <v>103</v>
      </c>
      <c r="Q144" s="38">
        <v>103</v>
      </c>
      <c r="R144" s="38">
        <v>432</v>
      </c>
      <c r="S144" s="38">
        <v>427</v>
      </c>
      <c r="T144" s="38">
        <v>423</v>
      </c>
      <c r="U144" s="38">
        <v>427</v>
      </c>
      <c r="BI144" s="77"/>
      <c r="BJ144" s="77"/>
    </row>
    <row r="145" spans="1:62" ht="23.25" hidden="1" customHeight="1">
      <c r="A145" s="167"/>
      <c r="B145" s="170"/>
      <c r="C145" s="170"/>
      <c r="D145" s="181"/>
      <c r="E145" s="5"/>
      <c r="F145" s="6" t="s">
        <v>3</v>
      </c>
      <c r="G145" s="7"/>
      <c r="H145" s="7"/>
      <c r="I145" s="7">
        <f>J145+K145+L145+M145+N145+O145+P145+Q145+R145+S145+T145+U145</f>
        <v>0</v>
      </c>
      <c r="J145" s="13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BI145" s="77"/>
      <c r="BJ145" s="77"/>
    </row>
    <row r="146" spans="1:62" ht="23.25" hidden="1" customHeight="1">
      <c r="A146" s="167"/>
      <c r="B146" s="170"/>
      <c r="C146" s="170"/>
      <c r="D146" s="181"/>
      <c r="E146" s="5"/>
      <c r="F146" s="40">
        <v>324</v>
      </c>
      <c r="G146" s="7">
        <v>51199</v>
      </c>
      <c r="H146" s="7"/>
      <c r="I146" s="7">
        <f>J146+K146+L146+M146+N146+O146+P146+Q146+R146+S146+T146+U146</f>
        <v>51199</v>
      </c>
      <c r="J146" s="27">
        <f>5702+2800</f>
        <v>8502</v>
      </c>
      <c r="K146" s="85">
        <f>5701-2800</f>
        <v>2901</v>
      </c>
      <c r="L146" s="85">
        <v>5140</v>
      </c>
      <c r="M146" s="85">
        <v>5140</v>
      </c>
      <c r="N146" s="85">
        <v>5140</v>
      </c>
      <c r="O146" s="85">
        <v>5140</v>
      </c>
      <c r="P146" s="85">
        <v>3392</v>
      </c>
      <c r="Q146" s="85">
        <v>3392</v>
      </c>
      <c r="R146" s="85">
        <v>3392</v>
      </c>
      <c r="S146" s="85">
        <v>3392</v>
      </c>
      <c r="T146" s="85">
        <v>3392</v>
      </c>
      <c r="U146" s="85">
        <f>3392-1116</f>
        <v>2276</v>
      </c>
      <c r="BI146" s="77"/>
      <c r="BJ146" s="77"/>
    </row>
    <row r="147" spans="1:62" s="60" customFormat="1" ht="23.25" customHeight="1">
      <c r="A147" s="167"/>
      <c r="B147" s="170"/>
      <c r="C147" s="170"/>
      <c r="D147" s="181"/>
      <c r="E147" s="46">
        <f>E142+1</f>
        <v>28</v>
      </c>
      <c r="F147" s="86" t="s">
        <v>12</v>
      </c>
      <c r="G147" s="7">
        <f>G148+G149+G150+G151</f>
        <v>86322</v>
      </c>
      <c r="H147" s="7">
        <v>115864</v>
      </c>
      <c r="I147" s="7">
        <f t="shared" ref="I147:U147" si="27">I148+I149+I150+I151</f>
        <v>85997</v>
      </c>
      <c r="J147" s="8">
        <f t="shared" si="27"/>
        <v>2884</v>
      </c>
      <c r="K147" s="7">
        <f t="shared" si="27"/>
        <v>16728</v>
      </c>
      <c r="L147" s="7">
        <f t="shared" si="27"/>
        <v>9216</v>
      </c>
      <c r="M147" s="7">
        <f t="shared" si="27"/>
        <v>9215</v>
      </c>
      <c r="N147" s="7">
        <f t="shared" si="27"/>
        <v>9216</v>
      </c>
      <c r="O147" s="7">
        <f t="shared" si="27"/>
        <v>9215</v>
      </c>
      <c r="P147" s="7">
        <f t="shared" si="27"/>
        <v>5384</v>
      </c>
      <c r="Q147" s="7">
        <f t="shared" si="27"/>
        <v>4777</v>
      </c>
      <c r="R147" s="7">
        <f t="shared" si="27"/>
        <v>4938</v>
      </c>
      <c r="S147" s="7">
        <f t="shared" si="27"/>
        <v>4939</v>
      </c>
      <c r="T147" s="7">
        <f t="shared" si="27"/>
        <v>4938</v>
      </c>
      <c r="U147" s="7">
        <f t="shared" si="27"/>
        <v>4547</v>
      </c>
      <c r="BI147" s="87"/>
      <c r="BJ147" s="87"/>
    </row>
    <row r="148" spans="1:62" ht="23.25" customHeight="1">
      <c r="A148" s="167"/>
      <c r="B148" s="170"/>
      <c r="C148" s="170"/>
      <c r="D148" s="181"/>
      <c r="E148" s="5"/>
      <c r="F148" s="6" t="s">
        <v>5</v>
      </c>
      <c r="G148" s="7">
        <v>66396</v>
      </c>
      <c r="H148" s="7"/>
      <c r="I148" s="7">
        <f>J148+K148+L148+M148+N148+O148+P148+Q148+R148+S148+T148+U148</f>
        <v>66396</v>
      </c>
      <c r="J148" s="13">
        <v>0</v>
      </c>
      <c r="K148" s="14">
        <v>14641</v>
      </c>
      <c r="L148" s="14">
        <v>7320</v>
      </c>
      <c r="M148" s="14">
        <v>7320</v>
      </c>
      <c r="N148" s="14">
        <v>7320</v>
      </c>
      <c r="O148" s="14">
        <v>7320</v>
      </c>
      <c r="P148" s="14">
        <v>3746</v>
      </c>
      <c r="Q148" s="14">
        <v>3746</v>
      </c>
      <c r="R148" s="14">
        <v>3746</v>
      </c>
      <c r="S148" s="14">
        <v>3746</v>
      </c>
      <c r="T148" s="14">
        <v>3745</v>
      </c>
      <c r="U148" s="14">
        <v>3746</v>
      </c>
    </row>
    <row r="149" spans="1:62" ht="23.25" hidden="1" customHeight="1">
      <c r="A149" s="167"/>
      <c r="B149" s="170"/>
      <c r="C149" s="170"/>
      <c r="D149" s="181"/>
      <c r="E149" s="5"/>
      <c r="F149" s="6" t="s">
        <v>4</v>
      </c>
      <c r="G149" s="70">
        <v>4752</v>
      </c>
      <c r="H149" s="70"/>
      <c r="I149" s="7">
        <f>J149+K149+L149+M149+N149+O149+P149+Q149+R149+S149+T149+U149</f>
        <v>4427</v>
      </c>
      <c r="J149" s="39">
        <f>1300-1300</f>
        <v>0</v>
      </c>
      <c r="K149" s="38">
        <f>3107-1300</f>
        <v>1807</v>
      </c>
      <c r="L149" s="38">
        <v>312</v>
      </c>
      <c r="M149" s="38">
        <v>311</v>
      </c>
      <c r="N149" s="38">
        <v>312</v>
      </c>
      <c r="O149" s="38">
        <v>311</v>
      </c>
      <c r="P149" s="38">
        <v>627</v>
      </c>
      <c r="Q149" s="38">
        <v>20</v>
      </c>
      <c r="R149" s="38">
        <v>181</v>
      </c>
      <c r="S149" s="38">
        <v>182</v>
      </c>
      <c r="T149" s="38">
        <v>182</v>
      </c>
      <c r="U149" s="38">
        <v>182</v>
      </c>
    </row>
    <row r="150" spans="1:62" ht="23.25" hidden="1" customHeight="1">
      <c r="A150" s="167"/>
      <c r="B150" s="170"/>
      <c r="C150" s="170"/>
      <c r="D150" s="181"/>
      <c r="E150" s="5"/>
      <c r="F150" s="6" t="s">
        <v>3</v>
      </c>
      <c r="G150" s="7"/>
      <c r="H150" s="7"/>
      <c r="I150" s="7">
        <f>J150+K150+L150+M150+N150+O150+P150+Q150+R150+S150+T150+U150</f>
        <v>0</v>
      </c>
      <c r="J150" s="13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:62" ht="23.25" hidden="1" customHeight="1">
      <c r="A151" s="167"/>
      <c r="B151" s="170"/>
      <c r="C151" s="170"/>
      <c r="D151" s="181"/>
      <c r="E151" s="5"/>
      <c r="F151" s="40">
        <v>324</v>
      </c>
      <c r="G151" s="7">
        <v>15174</v>
      </c>
      <c r="H151" s="7"/>
      <c r="I151" s="7">
        <f>J151+K151+L151+M151+N151+O151+P151+Q151+R151+S151+T151+U151</f>
        <v>15174</v>
      </c>
      <c r="J151" s="27">
        <f>1584+1300</f>
        <v>2884</v>
      </c>
      <c r="K151" s="85">
        <f>1580-1300</f>
        <v>280</v>
      </c>
      <c r="L151" s="85">
        <v>1584</v>
      </c>
      <c r="M151" s="85">
        <v>1584</v>
      </c>
      <c r="N151" s="85">
        <v>1584</v>
      </c>
      <c r="O151" s="85">
        <v>1584</v>
      </c>
      <c r="P151" s="85">
        <v>1011</v>
      </c>
      <c r="Q151" s="85">
        <v>1011</v>
      </c>
      <c r="R151" s="85">
        <v>1011</v>
      </c>
      <c r="S151" s="85">
        <v>1011</v>
      </c>
      <c r="T151" s="85">
        <v>1011</v>
      </c>
      <c r="U151" s="85">
        <f>1011-392</f>
        <v>619</v>
      </c>
    </row>
    <row r="152" spans="1:62" s="60" customFormat="1" ht="41.25" customHeight="1">
      <c r="A152" s="167"/>
      <c r="B152" s="170"/>
      <c r="C152" s="170"/>
      <c r="D152" s="181"/>
      <c r="E152" s="46">
        <f>E147+1</f>
        <v>29</v>
      </c>
      <c r="F152" s="6" t="s">
        <v>11</v>
      </c>
      <c r="G152" s="7">
        <f>G153+G154+G155+G156</f>
        <v>331878</v>
      </c>
      <c r="H152" s="7">
        <v>292080</v>
      </c>
      <c r="I152" s="7">
        <f t="shared" ref="I152:U152" si="28">I153+I154+I155+I156</f>
        <v>318655</v>
      </c>
      <c r="J152" s="8">
        <f t="shared" si="28"/>
        <v>22077</v>
      </c>
      <c r="K152" s="7">
        <f t="shared" si="28"/>
        <v>34334</v>
      </c>
      <c r="L152" s="7">
        <f t="shared" si="28"/>
        <v>25884</v>
      </c>
      <c r="M152" s="7">
        <f t="shared" si="28"/>
        <v>26374</v>
      </c>
      <c r="N152" s="7">
        <f t="shared" si="28"/>
        <v>29042</v>
      </c>
      <c r="O152" s="7">
        <f t="shared" si="28"/>
        <v>46677</v>
      </c>
      <c r="P152" s="7">
        <f t="shared" si="28"/>
        <v>37649</v>
      </c>
      <c r="Q152" s="7">
        <f t="shared" si="28"/>
        <v>26374</v>
      </c>
      <c r="R152" s="7">
        <f t="shared" si="28"/>
        <v>29130</v>
      </c>
      <c r="S152" s="7">
        <f t="shared" si="28"/>
        <v>20435</v>
      </c>
      <c r="T152" s="7">
        <f t="shared" si="28"/>
        <v>19969</v>
      </c>
      <c r="U152" s="7">
        <f t="shared" si="28"/>
        <v>710</v>
      </c>
    </row>
    <row r="153" spans="1:62" ht="23.25" customHeight="1">
      <c r="A153" s="167"/>
      <c r="B153" s="170"/>
      <c r="C153" s="170"/>
      <c r="D153" s="181"/>
      <c r="E153" s="5"/>
      <c r="F153" s="6" t="s">
        <v>5</v>
      </c>
      <c r="G153" s="7">
        <v>238249</v>
      </c>
      <c r="H153" s="7"/>
      <c r="I153" s="7">
        <f>J153+K153+L153+M153+N153+O153+P153+Q153+R153+S153+T153+U153</f>
        <v>225276</v>
      </c>
      <c r="J153" s="88">
        <v>0</v>
      </c>
      <c r="K153" s="89">
        <v>34334</v>
      </c>
      <c r="L153" s="89">
        <v>16600</v>
      </c>
      <c r="M153" s="89">
        <v>17157</v>
      </c>
      <c r="N153" s="89">
        <v>19825</v>
      </c>
      <c r="O153" s="89">
        <f>17714+19746</f>
        <v>37460</v>
      </c>
      <c r="P153" s="89">
        <v>25286</v>
      </c>
      <c r="Q153" s="89">
        <v>17157</v>
      </c>
      <c r="R153" s="89">
        <v>19913</v>
      </c>
      <c r="S153" s="89">
        <v>17157</v>
      </c>
      <c r="T153" s="89">
        <v>19823</v>
      </c>
      <c r="U153" s="89">
        <f>20310-19746</f>
        <v>564</v>
      </c>
    </row>
    <row r="154" spans="1:62" ht="23.25" hidden="1" customHeight="1">
      <c r="A154" s="167"/>
      <c r="B154" s="170"/>
      <c r="C154" s="170"/>
      <c r="D154" s="181"/>
      <c r="E154" s="5"/>
      <c r="F154" s="6" t="s">
        <v>4</v>
      </c>
      <c r="G154" s="7">
        <v>8852</v>
      </c>
      <c r="H154" s="7"/>
      <c r="I154" s="7">
        <f>J154+K154+L154+M154+N154+O154+P154+Q154+R154+S154+T154+U154</f>
        <v>8602</v>
      </c>
      <c r="J154" s="39">
        <f>13000-13000</f>
        <v>0</v>
      </c>
      <c r="K154" s="38">
        <f>12510-12510</f>
        <v>0</v>
      </c>
      <c r="L154" s="38">
        <f>4632-490</f>
        <v>4142</v>
      </c>
      <c r="M154" s="38">
        <v>146</v>
      </c>
      <c r="N154" s="38">
        <v>146</v>
      </c>
      <c r="O154" s="38">
        <v>146</v>
      </c>
      <c r="P154" s="38">
        <v>3292</v>
      </c>
      <c r="Q154" s="38">
        <v>146</v>
      </c>
      <c r="R154" s="38">
        <v>146</v>
      </c>
      <c r="S154" s="38">
        <v>146</v>
      </c>
      <c r="T154" s="38">
        <v>146</v>
      </c>
      <c r="U154" s="38">
        <v>146</v>
      </c>
    </row>
    <row r="155" spans="1:62" ht="23.25" hidden="1" customHeight="1">
      <c r="A155" s="167"/>
      <c r="B155" s="170"/>
      <c r="C155" s="170"/>
      <c r="D155" s="181"/>
      <c r="E155" s="5"/>
      <c r="F155" s="6" t="s">
        <v>3</v>
      </c>
      <c r="G155" s="7"/>
      <c r="H155" s="7"/>
      <c r="I155" s="7">
        <f>J155+K155+L155+M155+N155+O155+P155+Q155+R155+S155+T155+U155</f>
        <v>0</v>
      </c>
      <c r="J155" s="88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</row>
    <row r="156" spans="1:62" ht="23.25" hidden="1" customHeight="1">
      <c r="A156" s="167"/>
      <c r="B156" s="170"/>
      <c r="C156" s="170"/>
      <c r="D156" s="181"/>
      <c r="E156" s="5"/>
      <c r="F156" s="40">
        <v>324</v>
      </c>
      <c r="G156" s="7">
        <v>84777</v>
      </c>
      <c r="H156" s="7"/>
      <c r="I156" s="7">
        <f>J156+K156+L156+M156+N156+O156+P156+Q156+R156+S156+T156+U156</f>
        <v>84777</v>
      </c>
      <c r="J156" s="16">
        <f>9077+13000</f>
        <v>22077</v>
      </c>
      <c r="K156" s="74">
        <f>9071-9071</f>
        <v>0</v>
      </c>
      <c r="L156" s="74">
        <f>9071-3929</f>
        <v>5142</v>
      </c>
      <c r="M156" s="74">
        <v>9071</v>
      </c>
      <c r="N156" s="74">
        <v>9071</v>
      </c>
      <c r="O156" s="74">
        <v>9071</v>
      </c>
      <c r="P156" s="74">
        <v>9071</v>
      </c>
      <c r="Q156" s="74">
        <v>9071</v>
      </c>
      <c r="R156" s="74">
        <v>9071</v>
      </c>
      <c r="S156" s="74">
        <f>9071-5939</f>
        <v>3132</v>
      </c>
      <c r="T156" s="74"/>
      <c r="U156" s="74"/>
    </row>
    <row r="157" spans="1:62" s="60" customFormat="1" ht="23.25" customHeight="1">
      <c r="A157" s="167"/>
      <c r="B157" s="170"/>
      <c r="C157" s="170"/>
      <c r="D157" s="181"/>
      <c r="E157" s="46">
        <f>E152+1</f>
        <v>30</v>
      </c>
      <c r="F157" s="6" t="s">
        <v>10</v>
      </c>
      <c r="G157" s="7">
        <f>G158+G159+G160+G161</f>
        <v>63004</v>
      </c>
      <c r="H157" s="7">
        <v>76393</v>
      </c>
      <c r="I157" s="7">
        <f t="shared" ref="I157:U157" si="29">I158+I159+I160+I161</f>
        <v>62289</v>
      </c>
      <c r="J157" s="8">
        <f t="shared" si="29"/>
        <v>4480</v>
      </c>
      <c r="K157" s="7">
        <f t="shared" si="29"/>
        <v>12476</v>
      </c>
      <c r="L157" s="7">
        <f t="shared" si="29"/>
        <v>7461</v>
      </c>
      <c r="M157" s="7">
        <f t="shared" si="29"/>
        <v>7864</v>
      </c>
      <c r="N157" s="7">
        <f t="shared" si="29"/>
        <v>7863</v>
      </c>
      <c r="O157" s="7">
        <f t="shared" si="29"/>
        <v>7133</v>
      </c>
      <c r="P157" s="7">
        <f t="shared" si="29"/>
        <v>5637</v>
      </c>
      <c r="Q157" s="7">
        <f t="shared" si="29"/>
        <v>1974</v>
      </c>
      <c r="R157" s="7">
        <f t="shared" si="29"/>
        <v>3343</v>
      </c>
      <c r="S157" s="7">
        <f t="shared" si="29"/>
        <v>2513</v>
      </c>
      <c r="T157" s="7">
        <f t="shared" si="29"/>
        <v>813</v>
      </c>
      <c r="U157" s="7">
        <f t="shared" si="29"/>
        <v>732</v>
      </c>
    </row>
    <row r="158" spans="1:62" ht="23.25" customHeight="1">
      <c r="A158" s="167"/>
      <c r="B158" s="170"/>
      <c r="C158" s="170"/>
      <c r="D158" s="181"/>
      <c r="E158" s="90"/>
      <c r="F158" s="6" t="s">
        <v>5</v>
      </c>
      <c r="G158" s="7">
        <v>44023</v>
      </c>
      <c r="H158" s="7"/>
      <c r="I158" s="7">
        <f>J158+K158+L158+M158+N158+O158+P158+Q158+R158+S158+T158+U158</f>
        <v>44023</v>
      </c>
      <c r="J158" s="13">
        <v>0</v>
      </c>
      <c r="K158" s="14">
        <v>12476</v>
      </c>
      <c r="L158" s="14">
        <f>6184+1</f>
        <v>6185</v>
      </c>
      <c r="M158" s="14">
        <v>6184</v>
      </c>
      <c r="N158" s="14">
        <v>6183</v>
      </c>
      <c r="O158" s="14">
        <f>15137-10401</f>
        <v>4736</v>
      </c>
      <c r="P158" s="14">
        <v>2277</v>
      </c>
      <c r="Q158" s="14">
        <v>1974</v>
      </c>
      <c r="R158" s="14">
        <v>1663</v>
      </c>
      <c r="S158" s="14">
        <v>833</v>
      </c>
      <c r="T158" s="14">
        <v>780</v>
      </c>
      <c r="U158" s="14">
        <f>733-1</f>
        <v>732</v>
      </c>
    </row>
    <row r="159" spans="1:62" ht="23.25" hidden="1" customHeight="1">
      <c r="A159" s="167"/>
      <c r="B159" s="170"/>
      <c r="C159" s="170"/>
      <c r="D159" s="181"/>
      <c r="E159" s="90"/>
      <c r="F159" s="6" t="s">
        <v>4</v>
      </c>
      <c r="G159" s="8">
        <v>2148</v>
      </c>
      <c r="H159" s="8"/>
      <c r="I159" s="7">
        <f>J159+K159+L159+M159+N159+O159+P159+Q159+R159+S159+T159+U159</f>
        <v>1433</v>
      </c>
      <c r="J159" s="39">
        <f>2800-2800</f>
        <v>0</v>
      </c>
      <c r="K159" s="38">
        <f>2397-2397</f>
        <v>0</v>
      </c>
      <c r="L159" s="38">
        <f>1120-404</f>
        <v>716</v>
      </c>
      <c r="M159" s="38">
        <v>0</v>
      </c>
      <c r="N159" s="38">
        <v>0</v>
      </c>
      <c r="O159" s="38">
        <v>717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f>1-1</f>
        <v>0</v>
      </c>
    </row>
    <row r="160" spans="1:62" ht="23.25" hidden="1" customHeight="1">
      <c r="A160" s="167"/>
      <c r="B160" s="170"/>
      <c r="C160" s="170"/>
      <c r="D160" s="181"/>
      <c r="E160" s="91"/>
      <c r="F160" s="6" t="s">
        <v>3</v>
      </c>
      <c r="G160" s="7"/>
      <c r="H160" s="7"/>
      <c r="I160" s="7">
        <f>J160+K160+L160+M160+N160+O160+P160+Q160+R160+S160+T160+U160</f>
        <v>0</v>
      </c>
      <c r="J160" s="13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:21" ht="23.25" hidden="1" customHeight="1">
      <c r="A161" s="167"/>
      <c r="B161" s="170"/>
      <c r="C161" s="170"/>
      <c r="D161" s="181"/>
      <c r="E161" s="91"/>
      <c r="F161" s="40">
        <v>324</v>
      </c>
      <c r="G161" s="7">
        <v>16833</v>
      </c>
      <c r="H161" s="7"/>
      <c r="I161" s="7">
        <f>J161+K161+L161+M161+N161+O161+P161+Q161+R161+S161+T161+U161</f>
        <v>16833</v>
      </c>
      <c r="J161" s="16">
        <f>1680+2800</f>
        <v>4480</v>
      </c>
      <c r="K161" s="74">
        <f>1680-1680</f>
        <v>0</v>
      </c>
      <c r="L161" s="74">
        <f>1680-1120</f>
        <v>560</v>
      </c>
      <c r="M161" s="74">
        <v>1680</v>
      </c>
      <c r="N161" s="74">
        <v>1680</v>
      </c>
      <c r="O161" s="74">
        <v>1680</v>
      </c>
      <c r="P161" s="74">
        <v>3360</v>
      </c>
      <c r="Q161" s="74">
        <v>0</v>
      </c>
      <c r="R161" s="74">
        <v>1680</v>
      </c>
      <c r="S161" s="74">
        <v>1680</v>
      </c>
      <c r="T161" s="74">
        <f>1680-1647</f>
        <v>33</v>
      </c>
      <c r="U161" s="74"/>
    </row>
    <row r="162" spans="1:21" s="60" customFormat="1" ht="23.25" customHeight="1">
      <c r="A162" s="167"/>
      <c r="B162" s="170"/>
      <c r="C162" s="170"/>
      <c r="D162" s="181"/>
      <c r="E162" s="92">
        <f>E157+1</f>
        <v>31</v>
      </c>
      <c r="F162" s="93" t="s">
        <v>9</v>
      </c>
      <c r="G162" s="7">
        <f>G163+G164+G165+G166</f>
        <v>295742</v>
      </c>
      <c r="H162" s="7">
        <v>311087</v>
      </c>
      <c r="I162" s="7">
        <f t="shared" ref="I162:U162" si="30">I163+I164+I165+I166</f>
        <v>291699.09999999998</v>
      </c>
      <c r="J162" s="8">
        <f t="shared" si="30"/>
        <v>12780</v>
      </c>
      <c r="K162" s="7">
        <f t="shared" si="30"/>
        <v>46317</v>
      </c>
      <c r="L162" s="7">
        <f t="shared" si="30"/>
        <v>27057.1</v>
      </c>
      <c r="M162" s="7">
        <f t="shared" si="30"/>
        <v>27058</v>
      </c>
      <c r="N162" s="7">
        <f t="shared" si="30"/>
        <v>27057</v>
      </c>
      <c r="O162" s="7">
        <f t="shared" si="30"/>
        <v>39811</v>
      </c>
      <c r="P162" s="7">
        <f t="shared" si="30"/>
        <v>20353</v>
      </c>
      <c r="Q162" s="7">
        <f t="shared" si="30"/>
        <v>20353</v>
      </c>
      <c r="R162" s="7">
        <f t="shared" si="30"/>
        <v>25629</v>
      </c>
      <c r="S162" s="7">
        <f t="shared" si="30"/>
        <v>20446</v>
      </c>
      <c r="T162" s="7">
        <f t="shared" si="30"/>
        <v>20446</v>
      </c>
      <c r="U162" s="7">
        <f t="shared" si="30"/>
        <v>4392</v>
      </c>
    </row>
    <row r="163" spans="1:21" ht="23.25" customHeight="1">
      <c r="A163" s="119"/>
      <c r="B163" s="120"/>
      <c r="C163" s="120"/>
      <c r="D163" s="121"/>
      <c r="E163" s="91"/>
      <c r="F163" s="6" t="s">
        <v>5</v>
      </c>
      <c r="G163" s="7">
        <v>206173</v>
      </c>
      <c r="H163" s="7"/>
      <c r="I163" s="7">
        <f>J163+K163+L163+M163+N163+O163+P163+Q163+R163+S163+T163+U163</f>
        <v>206153</v>
      </c>
      <c r="J163" s="13">
        <v>0</v>
      </c>
      <c r="K163" s="14">
        <v>40342</v>
      </c>
      <c r="L163" s="14">
        <v>19493</v>
      </c>
      <c r="M163" s="14">
        <v>19494</v>
      </c>
      <c r="N163" s="14">
        <v>19494</v>
      </c>
      <c r="O163" s="14">
        <f>19495+10401</f>
        <v>29896</v>
      </c>
      <c r="P163" s="14">
        <v>14639</v>
      </c>
      <c r="Q163" s="14">
        <v>14639</v>
      </c>
      <c r="R163" s="14">
        <v>14639</v>
      </c>
      <c r="S163" s="14">
        <v>14639</v>
      </c>
      <c r="T163" s="14">
        <v>14640</v>
      </c>
      <c r="U163" s="14">
        <f>14639-10401</f>
        <v>4238</v>
      </c>
    </row>
    <row r="164" spans="1:21" ht="23.25" hidden="1" customHeight="1">
      <c r="A164" s="119"/>
      <c r="B164" s="120"/>
      <c r="C164" s="120"/>
      <c r="D164" s="121"/>
      <c r="E164" s="91"/>
      <c r="F164" s="6" t="s">
        <v>4</v>
      </c>
      <c r="G164" s="94">
        <v>8466</v>
      </c>
      <c r="H164" s="94"/>
      <c r="I164" s="7">
        <f>J164+K164+L164+M164+N164+O164+P164+Q164+R164+S164+T164+U164</f>
        <v>8466</v>
      </c>
      <c r="J164" s="39">
        <f>5300-5300</f>
        <v>0</v>
      </c>
      <c r="K164" s="38">
        <f>9095-5300</f>
        <v>3795</v>
      </c>
      <c r="L164" s="38">
        <v>321</v>
      </c>
      <c r="M164" s="38">
        <v>320</v>
      </c>
      <c r="N164" s="38">
        <v>319</v>
      </c>
      <c r="O164" s="38">
        <v>2671</v>
      </c>
      <c r="P164" s="38">
        <v>121</v>
      </c>
      <c r="Q164" s="38">
        <v>121</v>
      </c>
      <c r="R164" s="38">
        <v>215</v>
      </c>
      <c r="S164" s="38">
        <v>215</v>
      </c>
      <c r="T164" s="38">
        <v>214</v>
      </c>
      <c r="U164" s="38">
        <f>214-60</f>
        <v>154</v>
      </c>
    </row>
    <row r="165" spans="1:21" ht="23.25" hidden="1" customHeight="1">
      <c r="A165" s="119"/>
      <c r="B165" s="120"/>
      <c r="C165" s="120"/>
      <c r="D165" s="121"/>
      <c r="E165" s="91"/>
      <c r="F165" s="6" t="s">
        <v>3</v>
      </c>
      <c r="G165" s="7"/>
      <c r="H165" s="7"/>
      <c r="I165" s="7">
        <f>J165+K165+L165+M165+N165+O165+P165+Q165+R165+S165+T165+U165</f>
        <v>0</v>
      </c>
      <c r="J165" s="13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:21" ht="23.25" hidden="1" customHeight="1">
      <c r="A166" s="119"/>
      <c r="B166" s="120"/>
      <c r="C166" s="120"/>
      <c r="D166" s="121"/>
      <c r="E166" s="91"/>
      <c r="F166" s="113">
        <v>324</v>
      </c>
      <c r="G166" s="7">
        <v>81103</v>
      </c>
      <c r="H166" s="7"/>
      <c r="I166" s="7">
        <f>J166+K166+L166+M166+N166+O166+P166+Q166+R166+S166+T166+U166</f>
        <v>77080.100000000006</v>
      </c>
      <c r="J166" s="95">
        <f>7480+5300</f>
        <v>12780</v>
      </c>
      <c r="K166" s="96">
        <f>7480-5300</f>
        <v>2180</v>
      </c>
      <c r="L166" s="96">
        <v>7243.1</v>
      </c>
      <c r="M166" s="96">
        <v>7244</v>
      </c>
      <c r="N166" s="96">
        <v>7244</v>
      </c>
      <c r="O166" s="96">
        <v>7244</v>
      </c>
      <c r="P166" s="96">
        <v>5593</v>
      </c>
      <c r="Q166" s="96">
        <v>5593</v>
      </c>
      <c r="R166" s="96">
        <f>5592+5183</f>
        <v>10775</v>
      </c>
      <c r="S166" s="96">
        <v>5592</v>
      </c>
      <c r="T166" s="96">
        <v>5592</v>
      </c>
      <c r="U166" s="96">
        <f>5592-409-5183</f>
        <v>0</v>
      </c>
    </row>
    <row r="167" spans="1:21" ht="23.25" hidden="1" customHeight="1">
      <c r="A167" s="119"/>
      <c r="B167" s="120"/>
      <c r="C167" s="120"/>
      <c r="D167" s="121"/>
      <c r="E167" s="92"/>
      <c r="F167" s="114" t="s">
        <v>77</v>
      </c>
      <c r="G167" s="7"/>
      <c r="H167" s="7"/>
      <c r="I167" s="7">
        <f t="shared" ref="I167:I170" si="31">J167+K167+L167+M167+N167+O167+P167+Q167+R167+S167+T167+U167</f>
        <v>484171</v>
      </c>
      <c r="J167" s="115">
        <v>0</v>
      </c>
      <c r="K167" s="115">
        <v>0</v>
      </c>
      <c r="L167" s="115">
        <v>0</v>
      </c>
      <c r="M167" s="115">
        <v>0</v>
      </c>
      <c r="N167" s="115">
        <f>2518-2518</f>
        <v>0</v>
      </c>
      <c r="O167" s="115">
        <f>5992+9817+7547+14992-18602-19746</f>
        <v>0</v>
      </c>
      <c r="P167" s="115">
        <f>4229+3384+21502+18109-21119-26105</f>
        <v>0</v>
      </c>
      <c r="Q167" s="115">
        <f>14557+842+12116+1409+20254+9482-21662-29321-7677</f>
        <v>0</v>
      </c>
      <c r="R167" s="115">
        <f>3102+5070+10468+7717+6821+6366+19285+60+18174-41510-26960-8593</f>
        <v>0</v>
      </c>
      <c r="S167" s="115">
        <f>9745+4229+6821+6367+6463+19286+2223+18109+29321</f>
        <v>102564</v>
      </c>
      <c r="T167" s="115">
        <f>6425+4229+6843+5803+19286+7914+18109+19271+21119+26105+21662+7677+8593</f>
        <v>173036</v>
      </c>
      <c r="U167" s="115">
        <f>6444+4229+6621+6399+19287+11314+7986+3202+18110+5242+10401+2518+18602+19746+41510+26960</f>
        <v>208571</v>
      </c>
    </row>
    <row r="168" spans="1:21" ht="23.25" hidden="1" customHeight="1">
      <c r="A168" s="119"/>
      <c r="B168" s="120"/>
      <c r="C168" s="120"/>
      <c r="D168" s="121"/>
      <c r="E168" s="92"/>
      <c r="F168" s="114" t="s">
        <v>76</v>
      </c>
      <c r="G168" s="7"/>
      <c r="H168" s="7"/>
      <c r="I168" s="7">
        <f t="shared" si="31"/>
        <v>14809</v>
      </c>
      <c r="J168" s="116">
        <v>0</v>
      </c>
      <c r="K168" s="116">
        <v>0</v>
      </c>
      <c r="L168" s="116">
        <v>0</v>
      </c>
      <c r="M168" s="116">
        <v>0</v>
      </c>
      <c r="N168" s="116">
        <v>0</v>
      </c>
      <c r="O168" s="116">
        <f>1746+758+6404-1978-6930</f>
        <v>0</v>
      </c>
      <c r="P168" s="116">
        <f>399+235-634</f>
        <v>0</v>
      </c>
      <c r="Q168" s="116">
        <f>1548-1548</f>
        <v>0</v>
      </c>
      <c r="R168" s="116">
        <f>2000+1050-819-2231</f>
        <v>0</v>
      </c>
      <c r="S168" s="116">
        <f>1622+4575+1050-4111-2040</f>
        <v>1096</v>
      </c>
      <c r="T168" s="116">
        <f>3711+1100-4760+2231</f>
        <v>2282</v>
      </c>
      <c r="U168" s="116">
        <f>3712+1050+2680+5516-10699+60+6930+634+1548</f>
        <v>11431</v>
      </c>
    </row>
    <row r="169" spans="1:21" ht="23.25" hidden="1" customHeight="1">
      <c r="A169" s="119"/>
      <c r="B169" s="120"/>
      <c r="C169" s="120"/>
      <c r="D169" s="121"/>
      <c r="E169" s="92"/>
      <c r="F169" s="114" t="s">
        <v>78</v>
      </c>
      <c r="G169" s="7"/>
      <c r="H169" s="7"/>
      <c r="I169" s="7">
        <f t="shared" si="31"/>
        <v>140361</v>
      </c>
      <c r="J169" s="117">
        <v>0</v>
      </c>
      <c r="K169" s="117">
        <v>0</v>
      </c>
      <c r="L169" s="117">
        <v>0</v>
      </c>
      <c r="M169" s="117">
        <v>0</v>
      </c>
      <c r="N169" s="117">
        <v>0</v>
      </c>
      <c r="O169" s="117">
        <f>146+2937+6213-9296</f>
        <v>0</v>
      </c>
      <c r="P169" s="117">
        <f>857+1500+2431-4788</f>
        <v>0</v>
      </c>
      <c r="Q169" s="117">
        <f>1500+2432-3932</f>
        <v>0</v>
      </c>
      <c r="R169" s="117">
        <f>2000+4213+1530+1316+5120-5183-8996</f>
        <v>0</v>
      </c>
      <c r="S169" s="117">
        <f>2000+5000+1500+2069+19392+5939-24546-7127</f>
        <v>4227</v>
      </c>
      <c r="T169" s="117">
        <f>2000+5000+1500+2069+19392+9071+1647+2321+2605+8996</f>
        <v>54601</v>
      </c>
      <c r="U169" s="117">
        <f>2000+4051+1500+2069+3610+2493+5882+19392+9071+1671-1437+547+119+2950+990+1647+1116+392+271+9296+4788+3932+5183</f>
        <v>81533</v>
      </c>
    </row>
    <row r="170" spans="1:21" ht="23.25" hidden="1" customHeight="1">
      <c r="A170" s="119"/>
      <c r="B170" s="120"/>
      <c r="C170" s="120"/>
      <c r="D170" s="121"/>
      <c r="E170" s="92"/>
      <c r="F170" s="114" t="s">
        <v>79</v>
      </c>
      <c r="G170" s="7"/>
      <c r="H170" s="7"/>
      <c r="I170" s="7">
        <f t="shared" si="31"/>
        <v>639341</v>
      </c>
      <c r="J170" s="117">
        <f t="shared" ref="J170:O170" si="32">J167+J168+J169</f>
        <v>0</v>
      </c>
      <c r="K170" s="117">
        <f t="shared" si="32"/>
        <v>0</v>
      </c>
      <c r="L170" s="117">
        <f t="shared" si="32"/>
        <v>0</v>
      </c>
      <c r="M170" s="117">
        <f t="shared" si="32"/>
        <v>0</v>
      </c>
      <c r="N170" s="117">
        <f t="shared" si="32"/>
        <v>0</v>
      </c>
      <c r="O170" s="117">
        <f t="shared" si="32"/>
        <v>0</v>
      </c>
      <c r="P170" s="117">
        <f>P167+P168+P169</f>
        <v>0</v>
      </c>
      <c r="Q170" s="117">
        <f t="shared" ref="Q170:U170" si="33">Q167+Q168+Q169</f>
        <v>0</v>
      </c>
      <c r="R170" s="117">
        <f t="shared" si="33"/>
        <v>0</v>
      </c>
      <c r="S170" s="117">
        <f t="shared" si="33"/>
        <v>107887</v>
      </c>
      <c r="T170" s="117">
        <f t="shared" si="33"/>
        <v>229919</v>
      </c>
      <c r="U170" s="117">
        <f t="shared" si="33"/>
        <v>301535</v>
      </c>
    </row>
    <row r="171" spans="1:21" ht="23.25" hidden="1" customHeight="1">
      <c r="A171" s="119"/>
      <c r="B171" s="120"/>
      <c r="C171" s="120"/>
      <c r="D171" s="121"/>
      <c r="E171" s="92"/>
      <c r="F171" s="73" t="s">
        <v>1</v>
      </c>
      <c r="G171" s="7"/>
      <c r="H171" s="7"/>
      <c r="I171" s="7">
        <v>2389150</v>
      </c>
      <c r="J171" s="97"/>
      <c r="K171" s="97"/>
      <c r="L171" s="97"/>
      <c r="M171" s="97"/>
      <c r="N171" s="97"/>
      <c r="O171" s="97"/>
      <c r="P171" s="97"/>
      <c r="Q171" s="97"/>
      <c r="R171" s="97">
        <v>239015</v>
      </c>
      <c r="S171" s="97">
        <v>717039</v>
      </c>
      <c r="T171" s="97">
        <v>717042</v>
      </c>
      <c r="U171" s="97">
        <f>717039+409+2034-3428</f>
        <v>716054</v>
      </c>
    </row>
    <row r="172" spans="1:21" ht="28.5" customHeight="1">
      <c r="A172" s="197"/>
      <c r="B172" s="197"/>
      <c r="C172" s="197"/>
      <c r="D172" s="197"/>
      <c r="E172" s="122"/>
      <c r="F172" s="98" t="s">
        <v>8</v>
      </c>
      <c r="G172" s="7">
        <f>G12+G17+G22+G27+G32+G37+G42+G47+G52+G57+G62+G67+G72+G77+G82+G87+G92+G97+G102+G107+G112+G117+G122+G127+G132+G137+G142+G147+G152+G157+G162+G171</f>
        <v>8601196</v>
      </c>
      <c r="H172" s="7">
        <f>H12+H17+H22+H27+H32+H37+H42+H47+H52+H57+H62+H67+H72+H77+H82+H87+H92+H97+H102+H107+H112+H117+H122+H127+H132+H137+H142+H147+H152+H157+H162+H171</f>
        <v>10336493.800000001</v>
      </c>
      <c r="I172" s="7">
        <f>I12+I17+I22+I27+I32+I37+I42+I47+I52+I57+I62+I67+I72+I77+I82+I87+I92+I97+I102+I107+I112+I117+I122+I127+I132+I137+I142+I147+I152+I157+I162+I171+I170</f>
        <v>11661802</v>
      </c>
      <c r="J172" s="7">
        <f t="shared" ref="J172:O172" si="34">J12+J17+J22+J27+J32+J37+J42+J47+J52+J57+J62+J67+J72+J77+J82+J87+J92+J97+J102+J107+J112+J117+J122+J127+J132+J137+J142+J147+J152+J157+J162+J171+J170</f>
        <v>199006</v>
      </c>
      <c r="K172" s="7">
        <f t="shared" si="34"/>
        <v>1678144</v>
      </c>
      <c r="L172" s="7">
        <f t="shared" si="34"/>
        <v>916963.04999999993</v>
      </c>
      <c r="M172" s="7">
        <f t="shared" si="34"/>
        <v>904766</v>
      </c>
      <c r="N172" s="7">
        <f t="shared" si="34"/>
        <v>906920</v>
      </c>
      <c r="O172" s="7">
        <f t="shared" si="34"/>
        <v>1165501</v>
      </c>
      <c r="P172" s="7">
        <f>P12+P17+P22+P27+P32+P37+P42+P47+P52+P57+P62+P67+P72+P77+P82+P87+P92+P97+P102+P107+P112+P117+P122+P127+P132+P137+P142+P147+P152+P157+P162+P171+P170</f>
        <v>917233</v>
      </c>
      <c r="Q172" s="7">
        <f t="shared" ref="Q172:U172" si="35">Q12+Q17+Q22+Q27+Q32+Q37+Q42+Q47+Q52+Q57+Q62+Q67+Q72+Q77+Q82+Q87+Q92+Q97+Q102+Q107+Q112+Q117+Q122+Q127+Q132+Q137+Q142+Q147+Q152+Q157+Q162+Q171+Q170</f>
        <v>520125.95</v>
      </c>
      <c r="R172" s="7">
        <f t="shared" si="35"/>
        <v>800877</v>
      </c>
      <c r="S172" s="7">
        <f t="shared" si="35"/>
        <v>1254700</v>
      </c>
      <c r="T172" s="7">
        <f t="shared" si="35"/>
        <v>1212288</v>
      </c>
      <c r="U172" s="7">
        <f t="shared" si="35"/>
        <v>1185278</v>
      </c>
    </row>
    <row r="173" spans="1:21" ht="35.25" hidden="1" customHeight="1">
      <c r="G173" s="112">
        <v>8722408</v>
      </c>
      <c r="H173" s="112">
        <v>10336493.800000001</v>
      </c>
      <c r="I173" s="112">
        <v>11661802</v>
      </c>
      <c r="J173" s="112">
        <v>199006</v>
      </c>
      <c r="K173" s="112">
        <v>1678144</v>
      </c>
      <c r="L173" s="112">
        <v>916963</v>
      </c>
      <c r="M173" s="112">
        <v>904766</v>
      </c>
      <c r="N173" s="112">
        <v>906920</v>
      </c>
      <c r="O173" s="112">
        <v>1165501</v>
      </c>
      <c r="P173" s="112">
        <v>917233</v>
      </c>
      <c r="Q173" s="112">
        <v>520126</v>
      </c>
      <c r="R173" s="112">
        <v>800877</v>
      </c>
      <c r="S173" s="112">
        <v>1254700</v>
      </c>
      <c r="T173" s="112">
        <v>1212288</v>
      </c>
      <c r="U173" s="112">
        <v>1185278</v>
      </c>
    </row>
    <row r="174" spans="1:21" ht="48.75" hidden="1" customHeight="1">
      <c r="D174" s="198" t="s">
        <v>7</v>
      </c>
      <c r="E174" s="198"/>
      <c r="F174" s="198"/>
      <c r="G174" s="99"/>
      <c r="H174" s="99"/>
      <c r="I174" s="99">
        <f>J174+K174+L174+M174+N174+O174+P174+Q174+R174+S174+T174+U174</f>
        <v>11661802</v>
      </c>
      <c r="J174" s="100">
        <v>199006</v>
      </c>
      <c r="K174" s="100">
        <v>1678144</v>
      </c>
      <c r="L174" s="100">
        <v>916963</v>
      </c>
      <c r="M174" s="100">
        <v>904766</v>
      </c>
      <c r="N174" s="100">
        <v>906920</v>
      </c>
      <c r="O174" s="100">
        <v>1165501</v>
      </c>
      <c r="P174" s="100">
        <v>917233</v>
      </c>
      <c r="Q174" s="100">
        <v>520126</v>
      </c>
      <c r="R174" s="100">
        <v>800877</v>
      </c>
      <c r="S174" s="100">
        <v>1254700</v>
      </c>
      <c r="T174" s="100">
        <v>1212288</v>
      </c>
      <c r="U174" s="100">
        <v>1185278</v>
      </c>
    </row>
    <row r="175" spans="1:21" ht="19.5" hidden="1" customHeight="1">
      <c r="D175" s="123"/>
      <c r="E175" s="123"/>
      <c r="F175" s="123"/>
      <c r="I175" s="101">
        <f>I174-I172</f>
        <v>0</v>
      </c>
      <c r="J175" s="101">
        <f t="shared" ref="J175:U175" si="36">J174-J172</f>
        <v>0</v>
      </c>
      <c r="K175" s="101">
        <f t="shared" si="36"/>
        <v>0</v>
      </c>
      <c r="L175" s="101">
        <f t="shared" si="36"/>
        <v>-4.9999999930150807E-2</v>
      </c>
      <c r="M175" s="101">
        <f t="shared" si="36"/>
        <v>0</v>
      </c>
      <c r="N175" s="101">
        <f t="shared" si="36"/>
        <v>0</v>
      </c>
      <c r="O175" s="101">
        <f t="shared" si="36"/>
        <v>0</v>
      </c>
      <c r="P175" s="101">
        <f>P174-P172</f>
        <v>0</v>
      </c>
      <c r="Q175" s="101">
        <f t="shared" si="36"/>
        <v>4.9999999988358468E-2</v>
      </c>
      <c r="R175" s="101">
        <f t="shared" si="36"/>
        <v>0</v>
      </c>
      <c r="S175" s="101">
        <f t="shared" si="36"/>
        <v>0</v>
      </c>
      <c r="T175" s="101">
        <f t="shared" si="36"/>
        <v>0</v>
      </c>
      <c r="U175" s="101">
        <f t="shared" si="36"/>
        <v>0</v>
      </c>
    </row>
    <row r="176" spans="1:21" ht="19.5" hidden="1" customHeight="1">
      <c r="D176" s="123"/>
      <c r="E176" s="123"/>
      <c r="F176" s="123"/>
      <c r="I176" s="102"/>
    </row>
    <row r="177" spans="1:21" ht="19.5" hidden="1" customHeight="1">
      <c r="D177" s="123"/>
      <c r="E177" s="123"/>
      <c r="F177" s="103"/>
      <c r="I177" s="104"/>
      <c r="J177" s="104"/>
      <c r="K177" s="104"/>
      <c r="L177" s="104"/>
      <c r="M177" s="104"/>
      <c r="N177" s="104"/>
      <c r="O177" s="104"/>
      <c r="P177" s="104"/>
      <c r="Q177" s="104"/>
      <c r="R177" s="104"/>
      <c r="S177" s="104"/>
      <c r="T177" s="104"/>
      <c r="U177" s="104"/>
    </row>
    <row r="178" spans="1:21" hidden="1">
      <c r="I178" s="105"/>
      <c r="J178" s="77"/>
    </row>
    <row r="179" spans="1:21" s="60" customFormat="1" ht="23.25" hidden="1" customHeight="1">
      <c r="A179" s="1"/>
      <c r="B179" s="1"/>
      <c r="C179" s="1"/>
      <c r="D179" s="1"/>
      <c r="E179" s="92"/>
      <c r="F179" s="106" t="s">
        <v>6</v>
      </c>
      <c r="G179" s="3"/>
      <c r="H179" s="3"/>
      <c r="I179" s="7"/>
      <c r="J179" s="97"/>
      <c r="K179" s="97"/>
      <c r="L179" s="97"/>
      <c r="M179" s="97"/>
      <c r="N179" s="97"/>
      <c r="O179" s="97"/>
      <c r="P179" s="97"/>
      <c r="Q179" s="97"/>
      <c r="R179" s="97"/>
      <c r="S179" s="97"/>
      <c r="T179" s="97"/>
      <c r="U179" s="97"/>
    </row>
    <row r="180" spans="1:21" ht="23.25" hidden="1" customHeight="1">
      <c r="A180" s="119"/>
      <c r="B180" s="120"/>
      <c r="C180" s="120"/>
      <c r="D180" s="121"/>
      <c r="E180" s="91"/>
      <c r="F180" s="6" t="s">
        <v>5</v>
      </c>
      <c r="G180" s="3"/>
      <c r="H180" s="3"/>
      <c r="I180" s="38">
        <f t="shared" ref="I180:U183" si="37">I13+I18+I23+I28+I33+I38+I43+I48+I53+I58+I63+I68+I73+I78+I83+I88+I93+I98+I103+I108+I113+I118+I123+I128+I133+I138+I143+I148+I153+I158+I163</f>
        <v>5781733.5999999996</v>
      </c>
      <c r="J180" s="38">
        <f t="shared" si="37"/>
        <v>0</v>
      </c>
      <c r="K180" s="38">
        <f t="shared" si="37"/>
        <v>1196832.1499999999</v>
      </c>
      <c r="L180" s="38">
        <f t="shared" si="37"/>
        <v>659772.35</v>
      </c>
      <c r="M180" s="38">
        <f t="shared" si="37"/>
        <v>639618.05000000005</v>
      </c>
      <c r="N180" s="38">
        <f t="shared" si="37"/>
        <v>630005.35</v>
      </c>
      <c r="O180" s="38">
        <f t="shared" si="37"/>
        <v>824007.3</v>
      </c>
      <c r="P180" s="38">
        <f t="shared" si="37"/>
        <v>688714</v>
      </c>
      <c r="Q180" s="38">
        <f t="shared" si="37"/>
        <v>371665.1</v>
      </c>
      <c r="R180" s="38">
        <f t="shared" si="37"/>
        <v>347463.3</v>
      </c>
      <c r="S180" s="38">
        <f t="shared" si="37"/>
        <v>221541</v>
      </c>
      <c r="T180" s="38">
        <f t="shared" si="37"/>
        <v>128372</v>
      </c>
      <c r="U180" s="38">
        <f t="shared" si="37"/>
        <v>73743</v>
      </c>
    </row>
    <row r="181" spans="1:21" ht="23.25" hidden="1" customHeight="1">
      <c r="A181" s="119"/>
      <c r="B181" s="120"/>
      <c r="C181" s="120"/>
      <c r="D181" s="121"/>
      <c r="E181" s="91"/>
      <c r="F181" s="6" t="s">
        <v>4</v>
      </c>
      <c r="G181" s="3"/>
      <c r="H181" s="3"/>
      <c r="I181" s="38">
        <f t="shared" si="37"/>
        <v>732428.1</v>
      </c>
      <c r="J181" s="38">
        <f t="shared" si="37"/>
        <v>0</v>
      </c>
      <c r="K181" s="38">
        <f t="shared" si="37"/>
        <v>181113.85</v>
      </c>
      <c r="L181" s="38">
        <f t="shared" si="37"/>
        <v>74872.600000000006</v>
      </c>
      <c r="M181" s="38">
        <f t="shared" si="37"/>
        <v>59424.75</v>
      </c>
      <c r="N181" s="38">
        <f t="shared" si="37"/>
        <v>68099.649999999994</v>
      </c>
      <c r="O181" s="38">
        <f t="shared" si="37"/>
        <v>108840.7</v>
      </c>
      <c r="P181" s="38">
        <f t="shared" si="37"/>
        <v>34236</v>
      </c>
      <c r="Q181" s="38">
        <f t="shared" si="37"/>
        <v>30696.85</v>
      </c>
      <c r="R181" s="38">
        <f t="shared" si="37"/>
        <v>50557.7</v>
      </c>
      <c r="S181" s="38">
        <f t="shared" si="37"/>
        <v>49925</v>
      </c>
      <c r="T181" s="38">
        <f t="shared" si="37"/>
        <v>42759</v>
      </c>
      <c r="U181" s="38">
        <f t="shared" si="37"/>
        <v>31902</v>
      </c>
    </row>
    <row r="182" spans="1:21" ht="23.25" hidden="1" customHeight="1">
      <c r="A182" s="119"/>
      <c r="B182" s="120"/>
      <c r="C182" s="120"/>
      <c r="D182" s="121"/>
      <c r="E182" s="91"/>
      <c r="F182" s="6" t="s">
        <v>3</v>
      </c>
      <c r="G182" s="3"/>
      <c r="H182" s="3"/>
      <c r="I182" s="38">
        <f t="shared" si="37"/>
        <v>196339</v>
      </c>
      <c r="J182" s="38">
        <f t="shared" si="37"/>
        <v>0</v>
      </c>
      <c r="K182" s="38">
        <f t="shared" si="37"/>
        <v>56878</v>
      </c>
      <c r="L182" s="38">
        <f t="shared" si="37"/>
        <v>12545</v>
      </c>
      <c r="M182" s="38">
        <f t="shared" si="37"/>
        <v>13375</v>
      </c>
      <c r="N182" s="38">
        <f t="shared" si="37"/>
        <v>10206</v>
      </c>
      <c r="O182" s="38">
        <f t="shared" si="37"/>
        <v>7397</v>
      </c>
      <c r="P182" s="38">
        <f t="shared" si="37"/>
        <v>6448</v>
      </c>
      <c r="Q182" s="38">
        <f t="shared" si="37"/>
        <v>4136</v>
      </c>
      <c r="R182" s="38">
        <f t="shared" si="37"/>
        <v>27330</v>
      </c>
      <c r="S182" s="38">
        <f t="shared" si="37"/>
        <v>27945</v>
      </c>
      <c r="T182" s="38">
        <f t="shared" si="37"/>
        <v>13756</v>
      </c>
      <c r="U182" s="38">
        <f t="shared" si="37"/>
        <v>16323</v>
      </c>
    </row>
    <row r="183" spans="1:21" ht="23.25" hidden="1" customHeight="1">
      <c r="A183" s="119"/>
      <c r="B183" s="120"/>
      <c r="C183" s="120"/>
      <c r="D183" s="121"/>
      <c r="E183" s="107"/>
      <c r="F183" s="108" t="s">
        <v>2</v>
      </c>
      <c r="G183" s="3"/>
      <c r="H183" s="3"/>
      <c r="I183" s="109">
        <f>I16+I21+I26+I31+I36+I41+I46+I51+I56+I61+I66+I71+I76+I81+I86+I91+I96+I101+I106+I111+I116+I121+I126+I131+I136+I141+I146+I151+I156+I161+I166+5688</f>
        <v>1928498.3</v>
      </c>
      <c r="J183" s="109">
        <f t="shared" si="37"/>
        <v>199006</v>
      </c>
      <c r="K183" s="109">
        <f t="shared" si="37"/>
        <v>243320</v>
      </c>
      <c r="L183" s="109">
        <f t="shared" si="37"/>
        <v>169773.1</v>
      </c>
      <c r="M183" s="109">
        <f t="shared" si="37"/>
        <v>192348.2</v>
      </c>
      <c r="N183" s="109">
        <f t="shared" si="37"/>
        <v>198609</v>
      </c>
      <c r="O183" s="109">
        <f t="shared" si="37"/>
        <v>225256</v>
      </c>
      <c r="P183" s="109">
        <f t="shared" si="37"/>
        <v>187835</v>
      </c>
      <c r="Q183" s="109">
        <f t="shared" si="37"/>
        <v>113628</v>
      </c>
      <c r="R183" s="109">
        <f t="shared" si="37"/>
        <v>136511</v>
      </c>
      <c r="S183" s="109">
        <f t="shared" si="37"/>
        <v>130363</v>
      </c>
      <c r="T183" s="109">
        <f t="shared" si="37"/>
        <v>80440</v>
      </c>
      <c r="U183" s="109">
        <f>U16+U21+U26+U31+U36+U41+U46+U51+U56+U61+U66+U71+U76+U81+U86+U91+U96+U101+U106+U111+U116+U121+U126+U131+U136+U141+U146+U151+U156+U161+U166+5688</f>
        <v>51409</v>
      </c>
    </row>
    <row r="184" spans="1:21" ht="23.25" hidden="1" customHeight="1">
      <c r="A184" s="110"/>
      <c r="B184" s="111"/>
      <c r="C184" s="111"/>
      <c r="D184" s="111"/>
      <c r="E184" s="91"/>
      <c r="F184" s="73" t="s">
        <v>1</v>
      </c>
      <c r="G184" s="7"/>
      <c r="H184" s="7"/>
      <c r="I184" s="7">
        <f t="shared" ref="I184:U184" si="38">I171</f>
        <v>2389150</v>
      </c>
      <c r="J184" s="7">
        <f t="shared" si="38"/>
        <v>0</v>
      </c>
      <c r="K184" s="7">
        <f t="shared" si="38"/>
        <v>0</v>
      </c>
      <c r="L184" s="7">
        <f t="shared" si="38"/>
        <v>0</v>
      </c>
      <c r="M184" s="7">
        <f t="shared" si="38"/>
        <v>0</v>
      </c>
      <c r="N184" s="7">
        <f t="shared" si="38"/>
        <v>0</v>
      </c>
      <c r="O184" s="7">
        <f t="shared" si="38"/>
        <v>0</v>
      </c>
      <c r="P184" s="7">
        <f t="shared" si="38"/>
        <v>0</v>
      </c>
      <c r="Q184" s="7">
        <f t="shared" si="38"/>
        <v>0</v>
      </c>
      <c r="R184" s="7">
        <f t="shared" si="38"/>
        <v>239015</v>
      </c>
      <c r="S184" s="7">
        <f t="shared" si="38"/>
        <v>717039</v>
      </c>
      <c r="T184" s="7">
        <f t="shared" si="38"/>
        <v>717042</v>
      </c>
      <c r="U184" s="7">
        <f t="shared" si="38"/>
        <v>716054</v>
      </c>
    </row>
    <row r="185" spans="1:21" hidden="1">
      <c r="I185" s="105">
        <f t="shared" ref="I185:U185" si="39">I180+I181+I182+I183+I184</f>
        <v>11028149</v>
      </c>
      <c r="J185" s="105">
        <f t="shared" si="39"/>
        <v>199006</v>
      </c>
      <c r="K185" s="105">
        <f t="shared" si="39"/>
        <v>1678144</v>
      </c>
      <c r="L185" s="105">
        <f t="shared" si="39"/>
        <v>916963.04999999993</v>
      </c>
      <c r="M185" s="105">
        <f t="shared" si="39"/>
        <v>904766</v>
      </c>
      <c r="N185" s="105">
        <f t="shared" si="39"/>
        <v>906920</v>
      </c>
      <c r="O185" s="105">
        <f t="shared" si="39"/>
        <v>1165501</v>
      </c>
      <c r="P185" s="105">
        <f t="shared" si="39"/>
        <v>917233</v>
      </c>
      <c r="Q185" s="105">
        <f t="shared" si="39"/>
        <v>520125.94999999995</v>
      </c>
      <c r="R185" s="105">
        <f t="shared" si="39"/>
        <v>800877</v>
      </c>
      <c r="S185" s="105">
        <f t="shared" si="39"/>
        <v>1146813</v>
      </c>
      <c r="T185" s="105">
        <f t="shared" si="39"/>
        <v>982369</v>
      </c>
      <c r="U185" s="105">
        <f t="shared" si="39"/>
        <v>889431</v>
      </c>
    </row>
    <row r="186" spans="1:21" hidden="1">
      <c r="I186" s="105">
        <f>I174-I185</f>
        <v>633653</v>
      </c>
      <c r="J186" s="105">
        <f t="shared" ref="J186:U186" si="40">J174-J185</f>
        <v>0</v>
      </c>
      <c r="K186" s="105">
        <f t="shared" si="40"/>
        <v>0</v>
      </c>
      <c r="L186" s="105">
        <f t="shared" si="40"/>
        <v>-4.9999999930150807E-2</v>
      </c>
      <c r="M186" s="105">
        <f t="shared" si="40"/>
        <v>0</v>
      </c>
      <c r="N186" s="105">
        <f t="shared" si="40"/>
        <v>0</v>
      </c>
      <c r="O186" s="105">
        <f t="shared" si="40"/>
        <v>0</v>
      </c>
      <c r="P186" s="105">
        <f t="shared" si="40"/>
        <v>0</v>
      </c>
      <c r="Q186" s="105">
        <f t="shared" si="40"/>
        <v>5.0000000046566129E-2</v>
      </c>
      <c r="R186" s="105">
        <f t="shared" si="40"/>
        <v>0</v>
      </c>
      <c r="S186" s="105">
        <f t="shared" si="40"/>
        <v>107887</v>
      </c>
      <c r="T186" s="105">
        <f t="shared" si="40"/>
        <v>229919</v>
      </c>
      <c r="U186" s="105">
        <f t="shared" si="40"/>
        <v>295847</v>
      </c>
    </row>
    <row r="187" spans="1:21" ht="15" hidden="1" customHeight="1">
      <c r="I187" s="105"/>
    </row>
    <row r="188" spans="1:21" hidden="1"/>
    <row r="189" spans="1:21" hidden="1"/>
    <row r="190" spans="1:21" hidden="1"/>
    <row r="191" spans="1:21" hidden="1"/>
    <row r="192" spans="1:21" hidden="1"/>
    <row r="193" spans="9:21" hidden="1"/>
    <row r="194" spans="9:21" hidden="1">
      <c r="I194" s="1" t="s">
        <v>0</v>
      </c>
      <c r="J194" s="102">
        <v>0</v>
      </c>
      <c r="K194" s="101">
        <v>-36151.100000000093</v>
      </c>
      <c r="L194" s="101">
        <v>27978.199999999953</v>
      </c>
      <c r="M194" s="101">
        <v>6786.1999999999534</v>
      </c>
      <c r="N194" s="101">
        <v>-550.80000000004657</v>
      </c>
      <c r="O194" s="101">
        <v>-3960.8000000000466</v>
      </c>
      <c r="P194" s="101">
        <v>-0.30000000004656613</v>
      </c>
      <c r="Q194" s="101">
        <v>-0.29999999998835847</v>
      </c>
      <c r="R194" s="101">
        <v>2561.9000000000233</v>
      </c>
      <c r="S194" s="101">
        <v>-21.100000000093132</v>
      </c>
      <c r="T194" s="101">
        <v>-21.100000000093132</v>
      </c>
      <c r="U194" s="101">
        <v>3379.2000000001863</v>
      </c>
    </row>
    <row r="195" spans="9:21" hidden="1"/>
    <row r="196" spans="9:21" hidden="1"/>
    <row r="197" spans="9:21" hidden="1"/>
  </sheetData>
  <mergeCells count="30">
    <mergeCell ref="A2:I2"/>
    <mergeCell ref="A3:I3"/>
    <mergeCell ref="A6:U6"/>
    <mergeCell ref="A7:E7"/>
    <mergeCell ref="F7:F11"/>
    <mergeCell ref="G7:G11"/>
    <mergeCell ref="H7:H11"/>
    <mergeCell ref="I7:I11"/>
    <mergeCell ref="J7:U8"/>
    <mergeCell ref="A8:A162"/>
    <mergeCell ref="B8:E8"/>
    <mergeCell ref="B9:B162"/>
    <mergeCell ref="C9:E9"/>
    <mergeCell ref="J9:J11"/>
    <mergeCell ref="K9:K11"/>
    <mergeCell ref="A172:D172"/>
    <mergeCell ref="D174:F174"/>
    <mergeCell ref="S9:S11"/>
    <mergeCell ref="T9:T11"/>
    <mergeCell ref="U9:U11"/>
    <mergeCell ref="C10:C162"/>
    <mergeCell ref="D10:E10"/>
    <mergeCell ref="D11:D162"/>
    <mergeCell ref="M9:M11"/>
    <mergeCell ref="N9:N11"/>
    <mergeCell ref="O9:O11"/>
    <mergeCell ref="P9:P11"/>
    <mergeCell ref="Q9:Q11"/>
    <mergeCell ref="R9:R11"/>
    <mergeCell ref="L9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Лист2</vt:lpstr>
      <vt:lpstr>024011</vt:lpstr>
      <vt:lpstr>бухгалтерия подуш и ец</vt:lpstr>
      <vt:lpstr>Лист4</vt:lpstr>
      <vt:lpstr>'024011'!Область_печати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2022-06-28T10:44:31Z</dcterms:modified>
</cp:coreProperties>
</file>